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s.groen\Documents\Kalkulationshilfe\"/>
    </mc:Choice>
  </mc:AlternateContent>
  <workbookProtection workbookAlgorithmName="SHA-512" workbookHashValue="sCfdKdhqjdqabvZaArqLEJIbUQm5KCK4GwdMbwFhjPh2JbVXhWd8yl6O6NzR9/Ux+obhFsKDIUp85zGzc/q7+Q==" workbookSaltValue="2aAFCHNOUO16IlBMa4Oa0w==" workbookSpinCount="100000" lockStructure="1"/>
  <bookViews>
    <workbookView xWindow="0" yWindow="0" windowWidth="19200" windowHeight="5400" tabRatio="693" firstSheet="7" activeTab="8"/>
  </bookViews>
  <sheets>
    <sheet name="Putze etc. " sheetId="4" state="hidden" r:id="rId1"/>
    <sheet name="Staffelpreise Timber" sheetId="11" state="hidden" r:id="rId2"/>
    <sheet name="Staffelpreise Mineral" sheetId="16" state="hidden" r:id="rId3"/>
    <sheet name="Befestigung-Timber" sheetId="14" state="hidden" r:id="rId4"/>
    <sheet name="Befestigung-Mineral" sheetId="15" state="hidden" r:id="rId5"/>
    <sheet name="Platten" sheetId="9" state="hidden" r:id="rId6"/>
    <sheet name="Platten-Mineral" sheetId="13" state="hidden" r:id="rId7"/>
    <sheet name="STEICOsecure Timber" sheetId="10" r:id="rId8"/>
    <sheet name="STEICOsecure Mineral" sheetId="12" r:id="rId9"/>
  </sheets>
  <definedNames>
    <definedName name="_xlnm._FilterDatabase" localSheetId="5" hidden="1">Platten!$A$1:$K$51</definedName>
    <definedName name="_xlnm._FilterDatabase" localSheetId="6" hidden="1">'Platten-Mineral'!$A$1:$K$2</definedName>
    <definedName name="_xlnm._FilterDatabase" localSheetId="0" hidden="1">'Putze etc. '!$A$3:$J$10</definedName>
    <definedName name="Armierung_Name" comment="Armierungsputz+Klebemörtel">'Putze etc. '!$A$4:$A$5</definedName>
    <definedName name="Befestigung_Mineral_Name">'Befestigung-Mineral'!$A$4:$A$18</definedName>
    <definedName name="Befestigung_Mineral_Werte">'Befestigung-Mineral'!$A$4:$K$19</definedName>
    <definedName name="Befestigung_Timber_Name">'Befestigung-Timber'!$A$4:$A$27</definedName>
    <definedName name="Befestigung_Timber_Werte">'Befestigung-Timber'!$A$4:$K$27</definedName>
    <definedName name="_xlnm.Print_Area" localSheetId="8">'STEICOsecure Mineral'!$A$1:$M$92</definedName>
    <definedName name="_xlnm.Print_Area" localSheetId="7">'STEICOsecure Timber'!$A$1:$M$86</definedName>
    <definedName name="Farbtonklasse_Name">'Putze etc. '!$B$96:$B$98</definedName>
    <definedName name="Farbtonzuschlag_Anstrich_Name" comment="Silco und Color">'Putze etc. '!$A$92:$A$94</definedName>
    <definedName name="Farbtonzuschlag_Beschichtung_Name" comment="Render und Base Coat">'Putze etc. '!$A$87:$A$89</definedName>
    <definedName name="Gewebe_Fassade_Name">'Putze etc. '!$A$9:$A$11</definedName>
    <definedName name="Gewebe_Sockel_Name">'Putze etc. '!$A$15:$A$17</definedName>
    <definedName name="Gewebe_Staffelung_Mineral">'Staffelpreise Mineral'!$A$14:$E$24</definedName>
    <definedName name="Gewebe_Staffelung_Timber">'Staffelpreise Timber'!$A$14:$E$24</definedName>
    <definedName name="Grundierung_Name">'Putze etc. '!$A$21:$A$23</definedName>
    <definedName name="Grundierung_Staffelung_Mineral">'Staffelpreise Mineral'!$A$28:$E$32</definedName>
    <definedName name="Grundierung_Staffelung_Timber">'Staffelpreise Timber'!$A$28:$E$32</definedName>
    <definedName name="Oberputze_Name_1" comment="Oberputze ohne MP-Varianten">'Putze etc. '!$A$27:$A$57</definedName>
    <definedName name="Oberputze_Name_2" comment="nur MP-Varianten für zweite Oberputz-Schicht">'Putze etc. '!$A$61:$A$63</definedName>
    <definedName name="Platten_Mineral_Name">'Platten-Mineral'!$A$3:$A$16</definedName>
    <definedName name="Platten_Mineral_Werte">'Platten-Mineral'!$A$3:$Q$16</definedName>
    <definedName name="Platten_Timber_Name">Platten!$A$3:$A$51</definedName>
    <definedName name="Platten_Timber_Werte">Platten!$A$3:$Q$51</definedName>
    <definedName name="Putze_Zubehör_Werte">'Putze etc. '!$A$2:$J$94</definedName>
    <definedName name="Schlussanstrich_Name">'Putze etc. '!$A$77:$A$82</definedName>
    <definedName name="Schlussanstrich_Staffelung_Mineral">'Staffelpreise Mineral'!$A$36:$E$54</definedName>
    <definedName name="Schlussanstrich_Staffelung_Timber">'Staffelpreise Timber'!$A$36:$E$54</definedName>
    <definedName name="Sockel_Armieren_Kleben_Name">'Putze etc. '!$A$67:$A$68</definedName>
    <definedName name="Sockel_Oberputz_Name">'Putze etc. '!$A$72:$A$73</definedName>
  </definedNames>
  <calcPr calcId="162913"/>
</workbook>
</file>

<file path=xl/calcChain.xml><?xml version="1.0" encoding="utf-8"?>
<calcChain xmlns="http://schemas.openxmlformats.org/spreadsheetml/2006/main">
  <c r="I50" i="9" l="1"/>
  <c r="J50" i="9" s="1"/>
  <c r="G50" i="9"/>
  <c r="I49" i="9"/>
  <c r="J49" i="9" s="1"/>
  <c r="G49" i="9"/>
  <c r="I48" i="9"/>
  <c r="J48" i="9" s="1"/>
  <c r="G48" i="9"/>
  <c r="I47" i="9"/>
  <c r="J47" i="9" s="1"/>
  <c r="G47" i="9"/>
  <c r="I46" i="9"/>
  <c r="J46" i="9" s="1"/>
  <c r="G46" i="9"/>
  <c r="I45" i="9"/>
  <c r="J45" i="9" s="1"/>
  <c r="G45" i="9"/>
  <c r="A17" i="15" l="1"/>
  <c r="A16" i="15"/>
  <c r="A15" i="15"/>
  <c r="A14" i="15"/>
  <c r="A13" i="15"/>
  <c r="A12" i="15"/>
  <c r="A11" i="15"/>
  <c r="A10" i="15"/>
  <c r="A9" i="15"/>
  <c r="A8" i="15"/>
  <c r="A7" i="15"/>
  <c r="A6" i="15"/>
  <c r="A5" i="15" l="1"/>
  <c r="A4" i="15"/>
  <c r="I21" i="12" l="1"/>
  <c r="E21" i="12"/>
  <c r="J59" i="12" l="1"/>
  <c r="I59" i="12"/>
  <c r="E59" i="12"/>
  <c r="C59" i="12"/>
  <c r="B59" i="12"/>
  <c r="C24" i="12"/>
  <c r="K59" i="12" l="1"/>
  <c r="D59" i="12"/>
  <c r="F59" i="12" s="1"/>
  <c r="G59" i="12" s="1"/>
  <c r="I21" i="10"/>
  <c r="E21" i="10"/>
  <c r="C21" i="10"/>
  <c r="J26" i="14"/>
  <c r="A26" i="14"/>
  <c r="J25" i="14"/>
  <c r="A25" i="14"/>
  <c r="J24" i="14"/>
  <c r="A24" i="14"/>
  <c r="J23" i="14"/>
  <c r="A23" i="14"/>
  <c r="J22" i="14"/>
  <c r="A22" i="14"/>
  <c r="J21" i="14"/>
  <c r="A21" i="14"/>
  <c r="J20" i="14"/>
  <c r="A20" i="14"/>
  <c r="J19" i="14"/>
  <c r="A19" i="14"/>
  <c r="J18" i="14"/>
  <c r="A18" i="14"/>
  <c r="A17" i="14"/>
  <c r="A16" i="14"/>
  <c r="A15" i="14"/>
  <c r="A14" i="14"/>
  <c r="A13" i="14"/>
  <c r="A12" i="14"/>
  <c r="A11" i="14"/>
  <c r="A10" i="14"/>
  <c r="A9" i="14"/>
  <c r="A8" i="14"/>
  <c r="A7" i="14"/>
  <c r="A6" i="14"/>
  <c r="A5" i="14"/>
  <c r="A4" i="14"/>
  <c r="J18" i="12"/>
  <c r="E18" i="12"/>
  <c r="C18" i="12"/>
  <c r="B18" i="12"/>
  <c r="L15" i="13"/>
  <c r="I15" i="13"/>
  <c r="J15" i="13" s="1"/>
  <c r="G15" i="13"/>
  <c r="L14" i="13"/>
  <c r="I14" i="13"/>
  <c r="J14" i="13" s="1"/>
  <c r="G14" i="13"/>
  <c r="L13" i="13"/>
  <c r="I13" i="13"/>
  <c r="J13" i="13" s="1"/>
  <c r="G13" i="13"/>
  <c r="L12" i="13"/>
  <c r="I12" i="13"/>
  <c r="J12" i="13" s="1"/>
  <c r="G12" i="13"/>
  <c r="L11" i="13"/>
  <c r="I11" i="13"/>
  <c r="J11" i="13" s="1"/>
  <c r="G11" i="13"/>
  <c r="L10" i="13"/>
  <c r="I10" i="13"/>
  <c r="J10" i="13" s="1"/>
  <c r="G10" i="13"/>
  <c r="L9" i="13"/>
  <c r="I9" i="13"/>
  <c r="J9" i="13" s="1"/>
  <c r="G9" i="13"/>
  <c r="L8" i="13"/>
  <c r="I8" i="13"/>
  <c r="J8" i="13" s="1"/>
  <c r="G8" i="13"/>
  <c r="L7" i="13"/>
  <c r="I7" i="13"/>
  <c r="J7" i="13" s="1"/>
  <c r="G7" i="13"/>
  <c r="L6" i="13"/>
  <c r="I6" i="13"/>
  <c r="J6" i="13" s="1"/>
  <c r="G6" i="13"/>
  <c r="L5" i="13"/>
  <c r="I5" i="13"/>
  <c r="J5" i="13" s="1"/>
  <c r="G5" i="13"/>
  <c r="L4" i="13"/>
  <c r="I4" i="13"/>
  <c r="J4" i="13" s="1"/>
  <c r="G4" i="13"/>
  <c r="L3" i="13"/>
  <c r="I3" i="13"/>
  <c r="J3" i="13" s="1"/>
  <c r="G3" i="13"/>
  <c r="J68" i="12"/>
  <c r="I68" i="12"/>
  <c r="E68" i="12"/>
  <c r="C68" i="12"/>
  <c r="B68" i="12"/>
  <c r="J65" i="12"/>
  <c r="I65" i="12"/>
  <c r="E65" i="12"/>
  <c r="C65" i="12"/>
  <c r="B65" i="12"/>
  <c r="J62" i="12"/>
  <c r="E62" i="12"/>
  <c r="C62" i="12"/>
  <c r="B62" i="12"/>
  <c r="J54" i="12"/>
  <c r="I54" i="12"/>
  <c r="K54" i="12" s="1"/>
  <c r="B54" i="12"/>
  <c r="D54" i="12" s="1"/>
  <c r="J51" i="12"/>
  <c r="E51" i="12"/>
  <c r="C51" i="12"/>
  <c r="B51" i="12"/>
  <c r="J48" i="12"/>
  <c r="I48" i="12"/>
  <c r="B48" i="12"/>
  <c r="D48" i="12" s="1"/>
  <c r="J45" i="12"/>
  <c r="E45" i="12"/>
  <c r="C45" i="12"/>
  <c r="B45" i="12"/>
  <c r="J42" i="12"/>
  <c r="I42" i="12"/>
  <c r="B42" i="12"/>
  <c r="D42" i="12" s="1"/>
  <c r="J39" i="12"/>
  <c r="E39" i="12"/>
  <c r="C39" i="12"/>
  <c r="B39" i="12"/>
  <c r="J36" i="12"/>
  <c r="I36" i="12"/>
  <c r="B36" i="12"/>
  <c r="D36" i="12" s="1"/>
  <c r="J33" i="12"/>
  <c r="E33" i="12"/>
  <c r="C33" i="12"/>
  <c r="B33" i="12"/>
  <c r="J30" i="12"/>
  <c r="E30" i="12"/>
  <c r="C30" i="12"/>
  <c r="B30" i="12"/>
  <c r="J27" i="12"/>
  <c r="E27" i="12"/>
  <c r="C27" i="12"/>
  <c r="B27" i="12"/>
  <c r="J24" i="12"/>
  <c r="B24" i="12"/>
  <c r="J21" i="12"/>
  <c r="C21" i="12"/>
  <c r="B21" i="12"/>
  <c r="K42" i="12" l="1"/>
  <c r="K48" i="12"/>
  <c r="K65" i="12"/>
  <c r="K36" i="12"/>
  <c r="I24" i="12"/>
  <c r="K24" i="12" s="1"/>
  <c r="E24" i="12"/>
  <c r="D21" i="12"/>
  <c r="F21" i="12" s="1"/>
  <c r="G21" i="12" s="1"/>
  <c r="D30" i="12"/>
  <c r="F30" i="12" s="1"/>
  <c r="G30" i="12" s="1"/>
  <c r="D18" i="12"/>
  <c r="F18" i="12" s="1"/>
  <c r="G18" i="12" s="1"/>
  <c r="M59" i="12"/>
  <c r="K68" i="12"/>
  <c r="D62" i="12"/>
  <c r="F62" i="12" s="1"/>
  <c r="G62" i="12" s="1"/>
  <c r="D27" i="12"/>
  <c r="F27" i="12" s="1"/>
  <c r="G27" i="12" s="1"/>
  <c r="D5" i="16" s="1"/>
  <c r="D33" i="12"/>
  <c r="F33" i="12" s="1"/>
  <c r="D45" i="12"/>
  <c r="F45" i="12" s="1"/>
  <c r="I45" i="12" s="1"/>
  <c r="K45" i="12" s="1"/>
  <c r="D68" i="12"/>
  <c r="F68" i="12" s="1"/>
  <c r="G68" i="12" s="1"/>
  <c r="D65" i="12"/>
  <c r="F65" i="12" s="1"/>
  <c r="G65" i="12" s="1"/>
  <c r="D39" i="12"/>
  <c r="F39" i="12" s="1"/>
  <c r="D51" i="12"/>
  <c r="F51" i="12" s="1"/>
  <c r="M54" i="12" s="1"/>
  <c r="K21" i="12"/>
  <c r="D24" i="12"/>
  <c r="E34" i="9"/>
  <c r="F34" i="9"/>
  <c r="E35" i="9"/>
  <c r="F35" i="9"/>
  <c r="E36" i="9"/>
  <c r="F36" i="9"/>
  <c r="E37" i="9"/>
  <c r="F37" i="9"/>
  <c r="E38" i="9"/>
  <c r="F38" i="9"/>
  <c r="E39" i="9"/>
  <c r="F39" i="9"/>
  <c r="E19" i="9"/>
  <c r="F19" i="9"/>
  <c r="E20" i="9"/>
  <c r="F20" i="9"/>
  <c r="E21" i="9"/>
  <c r="F21" i="9"/>
  <c r="E22" i="9"/>
  <c r="F22" i="9"/>
  <c r="E23" i="9"/>
  <c r="F23" i="9"/>
  <c r="E24" i="9"/>
  <c r="F24" i="9"/>
  <c r="E25" i="9"/>
  <c r="F25" i="9"/>
  <c r="E26" i="9"/>
  <c r="F26" i="9"/>
  <c r="E27" i="9"/>
  <c r="F27" i="9"/>
  <c r="E28" i="9"/>
  <c r="F28" i="9"/>
  <c r="E29" i="9"/>
  <c r="F29" i="9"/>
  <c r="E30" i="9"/>
  <c r="F30" i="9"/>
  <c r="E31" i="9"/>
  <c r="F31" i="9"/>
  <c r="E32" i="9"/>
  <c r="F32" i="9"/>
  <c r="E33" i="9"/>
  <c r="F33" i="9"/>
  <c r="F18" i="9"/>
  <c r="E18" i="9"/>
  <c r="E8" i="9"/>
  <c r="F8" i="9"/>
  <c r="F7" i="9"/>
  <c r="E7" i="9"/>
  <c r="D23" i="16" l="1"/>
  <c r="D17" i="16"/>
  <c r="D14" i="16"/>
  <c r="D20" i="16"/>
  <c r="M42" i="12"/>
  <c r="G45" i="12"/>
  <c r="M48" i="12"/>
  <c r="M45" i="12"/>
  <c r="M36" i="12"/>
  <c r="F24" i="12"/>
  <c r="M24" i="12" s="1"/>
  <c r="G33" i="12"/>
  <c r="M68" i="12"/>
  <c r="G39" i="12"/>
  <c r="G51" i="12"/>
  <c r="M65" i="12"/>
  <c r="I39" i="12"/>
  <c r="K39" i="12" s="1"/>
  <c r="M39" i="12" s="1"/>
  <c r="M21" i="12"/>
  <c r="D31" i="16" l="1"/>
  <c r="D28" i="16"/>
  <c r="D40" i="16"/>
  <c r="D36" i="16"/>
  <c r="D52" i="16"/>
  <c r="D48" i="16"/>
  <c r="D44" i="16"/>
  <c r="G24" i="12"/>
  <c r="J51" i="10"/>
  <c r="B51" i="10"/>
  <c r="D51" i="10" s="1"/>
  <c r="J45" i="10"/>
  <c r="B45" i="10"/>
  <c r="D45" i="10" s="1"/>
  <c r="J33" i="10"/>
  <c r="B33" i="10"/>
  <c r="D33" i="10" s="1"/>
  <c r="B42" i="10"/>
  <c r="J42" i="10"/>
  <c r="J39" i="10"/>
  <c r="B39" i="10"/>
  <c r="D39" i="10" s="1"/>
  <c r="I45" i="10" l="1"/>
  <c r="K45" i="10" s="1"/>
  <c r="I39" i="10"/>
  <c r="K39" i="10" s="1"/>
  <c r="I51" i="10"/>
  <c r="K51" i="10" s="1"/>
  <c r="I33" i="10"/>
  <c r="K33" i="10" s="1"/>
  <c r="C42" i="10"/>
  <c r="D42" i="10" s="1"/>
  <c r="F42" i="10" s="1"/>
  <c r="E42" i="10"/>
  <c r="C24" i="10"/>
  <c r="I18" i="10"/>
  <c r="I44" i="9"/>
  <c r="G44" i="9"/>
  <c r="I43" i="9"/>
  <c r="G43" i="9"/>
  <c r="I42" i="9"/>
  <c r="G42" i="9"/>
  <c r="I41" i="9"/>
  <c r="G41" i="9"/>
  <c r="I40" i="9"/>
  <c r="G40" i="9"/>
  <c r="I39" i="9"/>
  <c r="G39" i="9"/>
  <c r="I38" i="9"/>
  <c r="G38" i="9"/>
  <c r="I37" i="9"/>
  <c r="G37" i="9"/>
  <c r="I36" i="9"/>
  <c r="G36" i="9"/>
  <c r="I35" i="9"/>
  <c r="G35" i="9"/>
  <c r="I34" i="9"/>
  <c r="G34" i="9"/>
  <c r="I33" i="9"/>
  <c r="G33" i="9"/>
  <c r="I32" i="9"/>
  <c r="G32" i="9"/>
  <c r="I31" i="9"/>
  <c r="G31" i="9"/>
  <c r="I30" i="9"/>
  <c r="G30" i="9"/>
  <c r="I29" i="9"/>
  <c r="G29" i="9"/>
  <c r="I28" i="9"/>
  <c r="G28" i="9"/>
  <c r="I27" i="9"/>
  <c r="G27" i="9"/>
  <c r="I26" i="9"/>
  <c r="G26" i="9"/>
  <c r="I25" i="9"/>
  <c r="G25" i="9"/>
  <c r="I24" i="9"/>
  <c r="G24" i="9"/>
  <c r="I23" i="9"/>
  <c r="G23" i="9"/>
  <c r="I22" i="9"/>
  <c r="G22" i="9"/>
  <c r="I21" i="9"/>
  <c r="G21" i="9"/>
  <c r="I20" i="9"/>
  <c r="G20" i="9"/>
  <c r="I19" i="9"/>
  <c r="G19" i="9"/>
  <c r="I18" i="9"/>
  <c r="G18" i="9"/>
  <c r="I17" i="9"/>
  <c r="G17" i="9"/>
  <c r="I16" i="9"/>
  <c r="G16" i="9"/>
  <c r="I15" i="9"/>
  <c r="G15" i="9"/>
  <c r="I14" i="9"/>
  <c r="G14" i="9"/>
  <c r="I13" i="9"/>
  <c r="G13" i="9"/>
  <c r="I12" i="9"/>
  <c r="G12" i="9"/>
  <c r="I11" i="9"/>
  <c r="J11" i="9" s="1"/>
  <c r="G11" i="9"/>
  <c r="I10" i="9"/>
  <c r="G10" i="9"/>
  <c r="I9" i="9"/>
  <c r="E18" i="10" s="1"/>
  <c r="G9" i="9"/>
  <c r="I8" i="9"/>
  <c r="G8" i="9"/>
  <c r="I7" i="9"/>
  <c r="G7" i="9"/>
  <c r="I6" i="9"/>
  <c r="G6" i="9"/>
  <c r="I5" i="9"/>
  <c r="G5" i="9"/>
  <c r="I4" i="9"/>
  <c r="G4" i="9"/>
  <c r="I3" i="9"/>
  <c r="G3" i="9"/>
  <c r="J24" i="9" l="1"/>
  <c r="J44" i="9"/>
  <c r="J5" i="9"/>
  <c r="J9" i="9"/>
  <c r="J13" i="9"/>
  <c r="J17" i="9"/>
  <c r="J21" i="9"/>
  <c r="J25" i="9"/>
  <c r="J29" i="9"/>
  <c r="J33" i="9"/>
  <c r="J37" i="9"/>
  <c r="J41" i="9"/>
  <c r="J4" i="9"/>
  <c r="J20" i="9"/>
  <c r="J36" i="9"/>
  <c r="J12" i="9"/>
  <c r="J28" i="9"/>
  <c r="J10" i="9"/>
  <c r="J26" i="9"/>
  <c r="J38" i="9"/>
  <c r="J16" i="9"/>
  <c r="J32" i="9"/>
  <c r="J14" i="9"/>
  <c r="J30" i="9"/>
  <c r="J42" i="9"/>
  <c r="J3" i="9"/>
  <c r="J15" i="9"/>
  <c r="J23" i="9"/>
  <c r="J31" i="9"/>
  <c r="J39" i="9"/>
  <c r="J43" i="9"/>
  <c r="J8" i="9"/>
  <c r="J40" i="9"/>
  <c r="J6" i="9"/>
  <c r="J18" i="9"/>
  <c r="J22" i="9"/>
  <c r="J34" i="9"/>
  <c r="J7" i="9"/>
  <c r="J19" i="9"/>
  <c r="J27" i="9"/>
  <c r="J35" i="9"/>
  <c r="M45" i="10"/>
  <c r="G42" i="10"/>
  <c r="I42" i="10"/>
  <c r="K42" i="10" s="1"/>
  <c r="M42" i="10" s="1"/>
  <c r="B56" i="10" l="1"/>
  <c r="J24" i="10"/>
  <c r="B24" i="10"/>
  <c r="C18" i="10"/>
  <c r="J56" i="10" l="1"/>
  <c r="B62" i="10"/>
  <c r="J62" i="10"/>
  <c r="J59" i="10"/>
  <c r="B59" i="10"/>
  <c r="E56" i="10" l="1"/>
  <c r="C62" i="10"/>
  <c r="D62" i="10" s="1"/>
  <c r="C30" i="10"/>
  <c r="E27" i="10"/>
  <c r="C27" i="10"/>
  <c r="D24" i="10"/>
  <c r="E36" i="10"/>
  <c r="I62" i="10"/>
  <c r="K62" i="10" s="1"/>
  <c r="C59" i="10"/>
  <c r="D59" i="10" s="1"/>
  <c r="C36" i="10"/>
  <c r="I59" i="10"/>
  <c r="K59" i="10" s="1"/>
  <c r="C56" i="10"/>
  <c r="D56" i="10" s="1"/>
  <c r="E24" i="10"/>
  <c r="E62" i="10"/>
  <c r="E48" i="10"/>
  <c r="C48" i="10"/>
  <c r="E30" i="10"/>
  <c r="E59" i="10"/>
  <c r="F24" i="10" l="1"/>
  <c r="G24" i="10" s="1"/>
  <c r="F56" i="10"/>
  <c r="G56" i="10" s="1"/>
  <c r="F59" i="10"/>
  <c r="G59" i="10" s="1"/>
  <c r="F62" i="10"/>
  <c r="G62" i="10" s="1"/>
  <c r="D17" i="11" l="1"/>
  <c r="E17" i="16"/>
  <c r="I62" i="12" s="1"/>
  <c r="E23" i="16"/>
  <c r="D5" i="11"/>
  <c r="E5" i="11" s="1"/>
  <c r="I24" i="10" s="1"/>
  <c r="E5" i="16"/>
  <c r="D23" i="11"/>
  <c r="E23" i="11" s="1"/>
  <c r="M59" i="10"/>
  <c r="M62" i="10"/>
  <c r="I27" i="12" l="1"/>
  <c r="K27" i="12" s="1"/>
  <c r="M27" i="12" s="1"/>
  <c r="I18" i="12"/>
  <c r="K18" i="12" s="1"/>
  <c r="M18" i="12" s="1"/>
  <c r="K24" i="10"/>
  <c r="M24" i="10" s="1"/>
  <c r="J21" i="10"/>
  <c r="B21" i="10"/>
  <c r="K21" i="10" l="1"/>
  <c r="D21" i="10"/>
  <c r="J18" i="10"/>
  <c r="J27" i="10"/>
  <c r="J30" i="10"/>
  <c r="J36" i="10"/>
  <c r="J48" i="10"/>
  <c r="F21" i="10" l="1"/>
  <c r="M21" i="10" s="1"/>
  <c r="K18" i="10"/>
  <c r="G21" i="10" l="1"/>
  <c r="B48" i="10" l="1"/>
  <c r="B36" i="10"/>
  <c r="B30" i="10"/>
  <c r="B27" i="10"/>
  <c r="B18" i="10"/>
  <c r="D18" i="10" l="1"/>
  <c r="F18" i="10" l="1"/>
  <c r="G18" i="10" s="1"/>
  <c r="D48" i="10"/>
  <c r="D30" i="10"/>
  <c r="F30" i="10" s="1"/>
  <c r="M33" i="10" s="1"/>
  <c r="D36" i="10"/>
  <c r="D27" i="10"/>
  <c r="F27" i="10" l="1"/>
  <c r="M18" i="10"/>
  <c r="F48" i="10"/>
  <c r="F36" i="10"/>
  <c r="M39" i="10" s="1"/>
  <c r="G30" i="10"/>
  <c r="E28" i="16" l="1"/>
  <c r="I33" i="12" s="1"/>
  <c r="E31" i="16"/>
  <c r="D28" i="11"/>
  <c r="D31" i="11"/>
  <c r="G48" i="10"/>
  <c r="M51" i="10"/>
  <c r="I36" i="10"/>
  <c r="K36" i="10" s="1"/>
  <c r="M36" i="10" s="1"/>
  <c r="G27" i="10"/>
  <c r="G36" i="10"/>
  <c r="E20" i="16" l="1"/>
  <c r="I30" i="12" s="1"/>
  <c r="E14" i="16"/>
  <c r="D52" i="11"/>
  <c r="E52" i="11" s="1"/>
  <c r="E52" i="16"/>
  <c r="E36" i="16"/>
  <c r="I51" i="12" s="1"/>
  <c r="E48" i="16"/>
  <c r="E40" i="16"/>
  <c r="E44" i="16"/>
  <c r="E17" i="11"/>
  <c r="I56" i="10" s="1"/>
  <c r="D20" i="11"/>
  <c r="E20" i="11" s="1"/>
  <c r="D48" i="11"/>
  <c r="E48" i="11" s="1"/>
  <c r="D44" i="11"/>
  <c r="E44" i="11" s="1"/>
  <c r="D40" i="11"/>
  <c r="E40" i="11" s="1"/>
  <c r="D36" i="11"/>
  <c r="E36" i="11" s="1"/>
  <c r="E31" i="11"/>
  <c r="E28" i="11"/>
  <c r="I30" i="10" s="1"/>
  <c r="D14" i="11"/>
  <c r="E14" i="11" s="1"/>
  <c r="K30" i="12" l="1"/>
  <c r="M30" i="12" s="1"/>
  <c r="I48" i="10"/>
  <c r="K48" i="10" s="1"/>
  <c r="M48" i="10" s="1"/>
  <c r="K33" i="12"/>
  <c r="M33" i="12" s="1"/>
  <c r="K51" i="12"/>
  <c r="M51" i="12" s="1"/>
  <c r="I27" i="10"/>
  <c r="K27" i="10" s="1"/>
  <c r="M27" i="10" s="1"/>
  <c r="K62" i="12"/>
  <c r="M62" i="12" s="1"/>
  <c r="K30" i="10"/>
  <c r="M30" i="10" s="1"/>
  <c r="K56" i="10"/>
  <c r="M56" i="10" s="1"/>
  <c r="M71" i="12" l="1"/>
  <c r="M72" i="12" s="1"/>
  <c r="M65" i="10"/>
  <c r="M66" i="10" s="1"/>
  <c r="M73" i="12" l="1"/>
  <c r="M67" i="10"/>
</calcChain>
</file>

<file path=xl/sharedStrings.xml><?xml version="1.0" encoding="utf-8"?>
<sst xmlns="http://schemas.openxmlformats.org/spreadsheetml/2006/main" count="969" uniqueCount="279">
  <si>
    <t>Schlussanstrich</t>
  </si>
  <si>
    <t>Gesamt</t>
  </si>
  <si>
    <t xml:space="preserve"> </t>
  </si>
  <si>
    <t>mtr.</t>
  </si>
  <si>
    <t>Einheit</t>
  </si>
  <si>
    <t>VE</t>
  </si>
  <si>
    <t>VE/Palette</t>
  </si>
  <si>
    <t>kg</t>
  </si>
  <si>
    <t>kg/Sack</t>
  </si>
  <si>
    <t>kg/Eimer</t>
  </si>
  <si>
    <t>Liter / Eimer</t>
  </si>
  <si>
    <t>Liter</t>
  </si>
  <si>
    <t>ca. Verbrauch /qm</t>
  </si>
  <si>
    <t>0,30 - 0,40 kg/m² pro Anstrich</t>
  </si>
  <si>
    <t xml:space="preserve">2,40 kg/m² 
</t>
  </si>
  <si>
    <t xml:space="preserve">3,10 kg/m² </t>
  </si>
  <si>
    <t xml:space="preserve">4,30 kg/m² </t>
  </si>
  <si>
    <t xml:space="preserve">3,50 kg/m² 
</t>
  </si>
  <si>
    <t xml:space="preserve">2,40 kg/m² </t>
  </si>
  <si>
    <t xml:space="preserve">1,80 kg/m² 
</t>
  </si>
  <si>
    <t>2,70 kg/m²</t>
  </si>
  <si>
    <t>1,80 kg/m²</t>
  </si>
  <si>
    <t>2,40 kg/m²</t>
  </si>
  <si>
    <t>2,80 kg/m²</t>
  </si>
  <si>
    <t xml:space="preserve">0,17 - 0,20 l/m² pro Anstrich
</t>
  </si>
  <si>
    <t xml:space="preserve">2,30 kg/m² </t>
  </si>
  <si>
    <t xml:space="preserve">2,80 kg/m² </t>
  </si>
  <si>
    <t>1,00 mtr, /m²</t>
  </si>
  <si>
    <t>Bruttopreis</t>
  </si>
  <si>
    <t>Rabatt</t>
  </si>
  <si>
    <t>Produkt</t>
  </si>
  <si>
    <t>Bestellmenge Eimer</t>
  </si>
  <si>
    <t>Farbtonzuschläge auf getönt (C1)</t>
  </si>
  <si>
    <t>Karton</t>
  </si>
  <si>
    <t>Typ</t>
  </si>
  <si>
    <t>Dicke</t>
  </si>
  <si>
    <t>Format</t>
  </si>
  <si>
    <t>Deckmaß</t>
  </si>
  <si>
    <t>Stück / Palette</t>
  </si>
  <si>
    <t>m³/Palette</t>
  </si>
  <si>
    <t>Preis / m²</t>
  </si>
  <si>
    <t>Preis / M³</t>
  </si>
  <si>
    <t>100*</t>
  </si>
  <si>
    <t>120*</t>
  </si>
  <si>
    <t>200*</t>
  </si>
  <si>
    <t>220*</t>
  </si>
  <si>
    <t>240*</t>
  </si>
  <si>
    <t>STEICO protect L dry  140 x 1.200 x 400 mm</t>
  </si>
  <si>
    <t>STEICO protect L dry  160 x 1.200 x 400 mm</t>
  </si>
  <si>
    <t>STEICO protect L dry  180 x 1.200 x 400 mm</t>
  </si>
  <si>
    <t>Platte m²</t>
  </si>
  <si>
    <t>Plattentyp</t>
  </si>
  <si>
    <t>Armierungsgewebe</t>
  </si>
  <si>
    <t>STEICO secure Base   Farbton: naturweiß   25 kg/Sack</t>
  </si>
  <si>
    <t>VE [m²/Palette]</t>
  </si>
  <si>
    <t>VE [kg/Sack]</t>
  </si>
  <si>
    <t>VE [m/Rolle]</t>
  </si>
  <si>
    <t>VE [kg/Sack bzw. Eimer]</t>
  </si>
  <si>
    <t>VE [kg/Eimer]</t>
  </si>
  <si>
    <t>Bestellmenge Rollen</t>
  </si>
  <si>
    <t>Bestellmenge Sack</t>
  </si>
  <si>
    <t>Bestellmenge Paletten</t>
  </si>
  <si>
    <t>Putzfläche [m²]</t>
  </si>
  <si>
    <t>m²</t>
  </si>
  <si>
    <t>VE [l/Eimer]</t>
  </si>
  <si>
    <t>Bestellmenge m²</t>
  </si>
  <si>
    <t>Bestellmenge kg</t>
  </si>
  <si>
    <t>Bestellmenge mtr.</t>
  </si>
  <si>
    <t>Bestellmenge Liter</t>
  </si>
  <si>
    <t>Bestellmenge Sack / Eimer</t>
  </si>
  <si>
    <t>STEICO protect L dry  100 x 1.200 x 400 mm (keine Lagerware)</t>
  </si>
  <si>
    <t>STEICO protect L dry  120 x 1.200 x 400 mm (keine Lagerware)</t>
  </si>
  <si>
    <t>STEICO protect L dry  200 x 1.200 x 400 mm (keine Lagerware)</t>
  </si>
  <si>
    <t>STEICO protect L dry  220 x 1.200 x 400 mm (keine Lagerware)</t>
  </si>
  <si>
    <t>STEICO protect L dry  240 x 1.200 x 400 mm (keine Lagerware)</t>
  </si>
  <si>
    <t xml:space="preserve">AGB Hinweis: </t>
  </si>
  <si>
    <t>Putz und Zubehör</t>
  </si>
  <si>
    <t>Netto</t>
  </si>
  <si>
    <t>Gesamtpreis ohne Transport / Verpackung</t>
  </si>
  <si>
    <t>Abnahme halbe LKW (ca. 35 m³). Kleinere Mengen auf Anfrage</t>
  </si>
  <si>
    <t>Kalkulationshilfe*</t>
  </si>
  <si>
    <t>Brutto-Listenpreis</t>
  </si>
  <si>
    <t>Verbrauch [m²/m²]</t>
  </si>
  <si>
    <t>Verbrauch [m²]</t>
  </si>
  <si>
    <t>Verbrauch [kg/m²]</t>
  </si>
  <si>
    <t>Verbrauch [kg]</t>
  </si>
  <si>
    <t>Verbrauch [m/m²]</t>
  </si>
  <si>
    <t>Verbrauch [m]</t>
  </si>
  <si>
    <t>Verbrauch [l/m²]</t>
  </si>
  <si>
    <t>Verbrauch [l]</t>
  </si>
  <si>
    <t>gelbe Felder = Eingabefelder / Auswahlfelder</t>
  </si>
  <si>
    <t>Datum:</t>
  </si>
  <si>
    <t>Tel. Nr:</t>
  </si>
  <si>
    <t>E-Mail:</t>
  </si>
  <si>
    <t>Transportkosten auf Anfrage</t>
  </si>
  <si>
    <t>für Silco und Color Fassadenfarbe</t>
  </si>
  <si>
    <t>Keine Auswahl</t>
  </si>
  <si>
    <t>Farbtonklassen</t>
  </si>
  <si>
    <t>C1</t>
  </si>
  <si>
    <t>C2</t>
  </si>
  <si>
    <t>C3</t>
  </si>
  <si>
    <t>Netto-Preis je Einheit</t>
  </si>
  <si>
    <t>ca. 3,00 kg/m²</t>
  </si>
  <si>
    <t>Rabatt STEICOprotect [%]</t>
  </si>
  <si>
    <t>Rabatt STEICOsecure [%]</t>
  </si>
  <si>
    <t>STEICO protect L dry  140 x 600 x 400 mm</t>
  </si>
  <si>
    <t>STEICO protect L dry  160 x 600 x 400 mm</t>
  </si>
  <si>
    <t>STEICO protect L dry  180 x 600 x 400 mm</t>
  </si>
  <si>
    <t>STEICO protect L dry  200 x 600 x 400 mm</t>
  </si>
  <si>
    <t>Palette</t>
  </si>
  <si>
    <t>Sack/Eimer</t>
  </si>
  <si>
    <t xml:space="preserve">* Dieses Tool soll Ihnen eine Hilfestellung bei der Ermittlung des voraussichtlichen Materialbedarfs geben. Alle Angaben / Berechnungen ohne Gewähr.
</t>
  </si>
  <si>
    <t>Befestigungsmittel</t>
  </si>
  <si>
    <t>Bestellmenge Karton</t>
  </si>
  <si>
    <t>Fläche [m²]</t>
  </si>
  <si>
    <t>Menge [m²]</t>
  </si>
  <si>
    <t>VE [Stk/Karton]</t>
  </si>
  <si>
    <t>Verbrauch [Stk/m²]</t>
  </si>
  <si>
    <t>Verbrauch [Stk]</t>
  </si>
  <si>
    <t>Bestellmenge Stk</t>
  </si>
  <si>
    <t>we</t>
  </si>
  <si>
    <t>we = -0,55</t>
  </si>
  <si>
    <t>we = -1,0</t>
  </si>
  <si>
    <t>we = -1,6</t>
  </si>
  <si>
    <t>Sonstige Hinweise:</t>
  </si>
  <si>
    <t>Es gelten ausschließlich die Verkaufs- und Lieferungsbedingungen der STEICO SE</t>
  </si>
  <si>
    <t>Rücknahme von Putz, Farben und Zubehör nicht möglich.
Zuschläge, Frachtkosten und Paletten nicht rabattfähig.
Bitte beachten Sie das Techn. Datenblatt, das Sicherheitsdatenblatt sowie die Verarbeitungshinweise zu den Produkten.</t>
  </si>
  <si>
    <t>7 kg/ 5 mm Stärke</t>
  </si>
  <si>
    <t>Fassadenfläche</t>
  </si>
  <si>
    <r>
      <t>Winddruck w</t>
    </r>
    <r>
      <rPr>
        <b/>
        <vertAlign val="subscript"/>
        <sz val="11"/>
        <color theme="1"/>
        <rFont val="Arial"/>
        <family val="2"/>
      </rPr>
      <t>e</t>
    </r>
    <r>
      <rPr>
        <b/>
        <sz val="11"/>
        <color theme="1"/>
        <rFont val="Arial"/>
        <family val="2"/>
      </rPr>
      <t xml:space="preserve"> [kN/m²] **</t>
    </r>
  </si>
  <si>
    <t>Putzfläche Sockel [m²]</t>
  </si>
  <si>
    <t>Putzfläche Fassade [m²]</t>
  </si>
  <si>
    <t>für Render und Base Coat</t>
  </si>
  <si>
    <t>Sockelfläche</t>
  </si>
  <si>
    <t>gesetzl. MwSt.</t>
  </si>
  <si>
    <t>Armierungsmörtel</t>
  </si>
  <si>
    <t>Grundierung</t>
  </si>
  <si>
    <t>Oberputz</t>
  </si>
  <si>
    <t>Farbtonzuschlag für Fassadenfarbe</t>
  </si>
  <si>
    <t>Farbtonzuschlag für Oberputz</t>
  </si>
  <si>
    <t>STEICO secure Base Coat 
Farbton: weiß   25 kg/Eimer</t>
  </si>
  <si>
    <t>STEICO secure Render S K2,0  Farbton: weiß  25 kg/Eimer</t>
  </si>
  <si>
    <t>STEICO secure Render S K3,0  Farbton: weiß   25 kg/Eimer</t>
  </si>
  <si>
    <t>STEICO secure Render S K1,5  Farbton: getönt  C1 25 kg/Eimer</t>
  </si>
  <si>
    <t>STEICO secure Render S K3,0  Farbton: getönt  C1  25 kg/Eimer</t>
  </si>
  <si>
    <t>STEICO secure Render S R3,0  Farbton: weiß  25 kg/Eimer</t>
  </si>
  <si>
    <t>STEICO secure Render M K2,0  Farbton: weiß  25 kg/Sack</t>
  </si>
  <si>
    <t>STEICO secure Render M K3,0  Farbton: weiß  25 kg/Sack</t>
  </si>
  <si>
    <t>STEICO secure Render M K1,5  Farbton: getönt C1  25 kg/Sack</t>
  </si>
  <si>
    <t>STEICO secure Render M K2,0  Farbton: getönt C1  25 kg/Sack</t>
  </si>
  <si>
    <t>STEICO secure Render M K3,0  Farbton: getönt C1  25 kg/Sack</t>
  </si>
  <si>
    <t>STEICO secure Render M R2,0  Farbton: weiß  25 kg/Sack</t>
  </si>
  <si>
    <t>STEICO secure Render M R3,0  Farbton: weiß  25 kg/Sack</t>
  </si>
  <si>
    <t>STEICO secure Render M R1,5  Farbton: getönt C1  25 kg/Sack</t>
  </si>
  <si>
    <t>STEICO secure Render M R2,0  Farbton: getönt C1  25 kg/Sack</t>
  </si>
  <si>
    <t>STEICO secure Render M R3,0  Farbton: getönt C1  25 kg/Sack</t>
  </si>
  <si>
    <t>STEICO secure Render M MP 0,5  Farbton: weiß  25 kg/Sack</t>
  </si>
  <si>
    <t>STEICO secure Render S R1,5  Farbton: weiß  25 kg/Eimer</t>
  </si>
  <si>
    <t>STEICO secure Render S R1,5  Farbton: getönt C1  25kg/Eimer</t>
  </si>
  <si>
    <t>STEICO secure Render S R2,0  Farbton: getönt C1  25 kg/Eimer</t>
  </si>
  <si>
    <t>STEICO secure Render S R3,0  Farbton: getönt C1  25 kg/Eimer</t>
  </si>
  <si>
    <t>STEICO secure Silco  Farbton: weiß  15 Liter/Eimer</t>
  </si>
  <si>
    <t>STEICO secure Silco  Farbton: getönt C1    15 Liter/Eimer</t>
  </si>
  <si>
    <t>Farbtonzuschlag für Grundierung</t>
  </si>
  <si>
    <t>Oberputz-1</t>
  </si>
  <si>
    <t>Oberputz-2</t>
  </si>
  <si>
    <t>Oberputz 2 (nur Modellierputz)</t>
  </si>
  <si>
    <t>Sockel - Oberputz</t>
  </si>
  <si>
    <t>1,5 kg/ 5 mm Stärke</t>
  </si>
  <si>
    <t>Sockel - Armieren/Kleben</t>
  </si>
  <si>
    <t>STEICO secure Base Guard [O]  Farbton: grau  25 kg/Sack</t>
  </si>
  <si>
    <t>STEICO secure Base Guard [K/A]  Farbton: grau  25 kg/Sack</t>
  </si>
  <si>
    <r>
      <rPr>
        <b/>
        <sz val="36"/>
        <color rgb="FF5F5F5F"/>
        <rFont val="Arial"/>
        <family val="2"/>
      </rPr>
      <t>STEICO</t>
    </r>
    <r>
      <rPr>
        <b/>
        <i/>
        <sz val="36"/>
        <color rgb="FF7CB257"/>
        <rFont val="Arial"/>
        <family val="2"/>
      </rPr>
      <t>secure</t>
    </r>
    <r>
      <rPr>
        <b/>
        <sz val="36"/>
        <color rgb="FF7CB257"/>
        <rFont val="Arial"/>
        <family val="2"/>
      </rPr>
      <t xml:space="preserve"> </t>
    </r>
    <r>
      <rPr>
        <b/>
        <sz val="36"/>
        <color theme="1" tint="0.34998626667073579"/>
        <rFont val="Arial"/>
        <family val="2"/>
      </rPr>
      <t>Timber</t>
    </r>
  </si>
  <si>
    <t>WDVS für Außenwände in Holzbauart gem. AbZ Nr. Z-33.47-1581</t>
  </si>
  <si>
    <t>STEICOprotect H 40 x 1.325 x 600 mm 4-seitig Nut Feder</t>
  </si>
  <si>
    <t>STEICOprotect H 60 x 1.325 x 600 mm 4-seitig Nut Feder</t>
  </si>
  <si>
    <t>STEICOprotect M 80 x 1.325 x 600 mm 4-seitig Nut Feder</t>
  </si>
  <si>
    <t xml:space="preserve">STEICOprotect H 40 x 2.800 x 1.250 mm </t>
  </si>
  <si>
    <t xml:space="preserve">STEICOprotect H 60 x 2.800 x 1.250 mm </t>
  </si>
  <si>
    <t>STEICO protect H dry 60 x 1.325 x 600 mm 4-seitig Nut Feder</t>
  </si>
  <si>
    <t>STEICO protect M dry 60 x 1.325 x 600 mm 4-seitig Nut Feder</t>
  </si>
  <si>
    <t>STEICO protect M dry 80 x 1.325 x 600 mm 4-seitig Nut Feder</t>
  </si>
  <si>
    <t>STEICO protect M dry 100 x 1.325 x 600 mm 4-seitig Nut Feder</t>
  </si>
  <si>
    <t xml:space="preserve">STEICO protect M dry 120 x 1.325 x 600 mm 4-seitig Nut Feder </t>
  </si>
  <si>
    <t>STEICO protect M dry 140 x 1.325 x 600 mm 4-seitig Nut Feder</t>
  </si>
  <si>
    <t>STEICO protect M dry 160 x 1.325 x 600 mm 4-seitig Nut Feder</t>
  </si>
  <si>
    <t xml:space="preserve">STEICO protect M dry 180 x 1.325 x 600 mm 4-seitig Nut Feder (keine Lagerware) </t>
  </si>
  <si>
    <t>180*</t>
  </si>
  <si>
    <t>STEICO protect M dry 200 x 1.325 x 600 mm 4-seitig Nut Feder (keine Lagerware)</t>
  </si>
  <si>
    <t>STEICO protect H dry 40 x 2.800 x 1.250 mm (keine Lagerware)</t>
  </si>
  <si>
    <t>40*</t>
  </si>
  <si>
    <t>STEICO protect H dry 60 x 2.600 x 1.250 mm (keine Lagerware)</t>
  </si>
  <si>
    <t>60*</t>
  </si>
  <si>
    <t>STEICO protect H dry 60 x 2.800 x 1.250 mm (keine Lagerware)</t>
  </si>
  <si>
    <t>STEICO protect H dry 60 x 3.000 x 1.250 mm</t>
  </si>
  <si>
    <t>STEICO protect M dry 60 x 2.800 x 1.250 mm (keine Lagerware)</t>
  </si>
  <si>
    <t>STEICO protect M dry 80 x 2.800 x 1.250 mm (keine Lagerware)</t>
  </si>
  <si>
    <t>80*</t>
  </si>
  <si>
    <t>STEICO protect M dry 100 x 2.800 x 1.250 mm (keine Lagerware)</t>
  </si>
  <si>
    <t>STEICO protect M dry 120 x 2.800 x 1.250 mm (keine Lagerware)</t>
  </si>
  <si>
    <t>STEICO protect M dry 140 x 2.800 x 1.250 mm (keine Lagerware)</t>
  </si>
  <si>
    <t>140*</t>
  </si>
  <si>
    <t>STEICO protect M dry 160 x 2.800 x 1.250 mm (keine Lagerware)</t>
  </si>
  <si>
    <t>160*</t>
  </si>
  <si>
    <t>STEICOduo dry 40 x 2.550 x 600 mm 4-seitig Nut Feder</t>
  </si>
  <si>
    <t>STEICOduo dry 60 x 2.550 x 600 mm 4-seitig Nut Feder</t>
  </si>
  <si>
    <t>STEICOprotect M 100 x 1.325 x 600 mm 4-seitig Nut Feder</t>
  </si>
  <si>
    <r>
      <t>** Rechnerische Anzahl der Dübel/ m² bei Anwendung des jeweiligen Dübelbildes aus Verarbeitungsanleitung bei Einhaltung der Mindestanzahl gem. Zulassung. Winddruck w</t>
    </r>
    <r>
      <rPr>
        <vertAlign val="subscript"/>
        <sz val="10"/>
        <color theme="1"/>
        <rFont val="Arial"/>
        <family val="2"/>
      </rPr>
      <t>e</t>
    </r>
    <r>
      <rPr>
        <sz val="10"/>
        <color theme="1"/>
        <rFont val="Arial"/>
        <family val="2"/>
      </rPr>
      <t xml:space="preserve"> (Windsoglasten) nach DIN EN 1991-1-4. 
Einfamilienhäuser bis h=10m sind in den Windzonen 1 und 2 Winddruck- und Sogkräften von max. w</t>
    </r>
    <r>
      <rPr>
        <vertAlign val="subscript"/>
        <sz val="10"/>
        <color theme="1"/>
        <rFont val="Arial"/>
        <family val="2"/>
      </rPr>
      <t xml:space="preserve">e </t>
    </r>
    <r>
      <rPr>
        <sz val="10"/>
        <color theme="1"/>
        <rFont val="Arial"/>
        <family val="2"/>
      </rPr>
      <t xml:space="preserve">= 1,00 kN/m² ausgesetzt. Für die küstennahen Bereiche an Nord- und Ostsee sind Berechnungen durchzuführen, die von Sachverständigen bwz. Ingenieurbüros angeboten werden.
</t>
    </r>
  </si>
  <si>
    <r>
      <rPr>
        <sz val="10"/>
        <color rgb="FFFF0000"/>
        <rFont val="Arial"/>
        <family val="2"/>
      </rPr>
      <t>Anlieferung auf kostenlosen Einweg-Paletten. Keine Rücknahme</t>
    </r>
    <r>
      <rPr>
        <sz val="10"/>
        <color theme="1"/>
        <rFont val="Arial"/>
        <family val="2"/>
      </rPr>
      <t xml:space="preserve">
</t>
    </r>
  </si>
  <si>
    <t>Lieferung:</t>
  </si>
  <si>
    <t xml:space="preserve">Anlieferung auf Paletten - Berechnung je Palette 16,- €. Keine Rücknahme
</t>
  </si>
  <si>
    <t>Farbtonzuschlag für Oberputz 2</t>
  </si>
  <si>
    <t>STEICOduo dry 40 x 2.230 x 600 mm 4-seitig Nut Feder</t>
  </si>
  <si>
    <t>STEICOduo dry 60 x 2.230 x 600 mm 4-seitig Nut Feder</t>
  </si>
  <si>
    <t>Menge kg</t>
  </si>
  <si>
    <t>Preis</t>
  </si>
  <si>
    <t>Menge m</t>
  </si>
  <si>
    <t>Menge Liter</t>
  </si>
  <si>
    <t>STEICOduo dry 60 x 2.550 x 1.175 mm 4-seitig Nut Feder</t>
  </si>
  <si>
    <t>STEICO secure Base Coat 
Farbton: getönt C1   25 kg/Eimer</t>
  </si>
  <si>
    <t>STEICO secure Render S K1,5  Farbton: weiß  25 kg/Eimer</t>
  </si>
  <si>
    <t>STEICO secure Render S K2,0  Farbton: getönt C1 25 kg/Eimer</t>
  </si>
  <si>
    <t>STEICO secure Render S R2,0  Farbton: weiß  25 kg/Eimer</t>
  </si>
  <si>
    <t>STEICO secure Render M K1,5  Farbton: weiß  25 kg/Sack</t>
  </si>
  <si>
    <t>STEICO secure Render M R1,5  Farbton: weiß  25 kg/Sack</t>
  </si>
  <si>
    <t>STEICO secure Render M MP 0,5  Farbton: getönt C1  25 kg/Sack</t>
  </si>
  <si>
    <t>brutto m²/Palette</t>
  </si>
  <si>
    <t>Staffelpreis</t>
  </si>
  <si>
    <t>Preis je kg</t>
  </si>
  <si>
    <t xml:space="preserve">7,50 kg/m² </t>
  </si>
  <si>
    <t>Bestellmenge [kg]</t>
  </si>
  <si>
    <t>ermittelter Staffelpreis [€/kg]</t>
  </si>
  <si>
    <t>Bestellmenge [m]</t>
  </si>
  <si>
    <t>ermittelter Staffelpreis [€/m]</t>
  </si>
  <si>
    <t>Staffelmenge [kg]</t>
  </si>
  <si>
    <t>! Bei Staffelmenge den jeweiligen Startwert der nächst größeren Staffelung angeben !!</t>
  </si>
  <si>
    <t>Staffelmenge [m]</t>
  </si>
  <si>
    <t>Staffelmenge [l]</t>
  </si>
  <si>
    <t>Bestellmenge  [l]</t>
  </si>
  <si>
    <t>ermittelter Staffelpreis [€/l]</t>
  </si>
  <si>
    <t>Armierungsgewebe Fassade</t>
  </si>
  <si>
    <t>Armierungsgewebe Sockel</t>
  </si>
  <si>
    <t>STEICO secure Mesh F [F]   Maschenweite 4 x 4 mm</t>
  </si>
  <si>
    <t>STEICO secure Mesh G [F]   Maschenweite 6 x 6 mm</t>
  </si>
  <si>
    <t>STEICO secure Mesh F [S]   Maschenweite 4 x 4 mm</t>
  </si>
  <si>
    <t>STEICO secure Mesh G [S]   Maschenweite 6 x 6 mm</t>
  </si>
  <si>
    <t>Sachbearbeiter:</t>
  </si>
  <si>
    <r>
      <rPr>
        <b/>
        <sz val="36"/>
        <color rgb="FF5F5F5F"/>
        <rFont val="Arial"/>
        <family val="2"/>
      </rPr>
      <t>STEICO</t>
    </r>
    <r>
      <rPr>
        <b/>
        <i/>
        <sz val="36"/>
        <color rgb="FF7CB257"/>
        <rFont val="Arial"/>
        <family val="2"/>
      </rPr>
      <t>secure</t>
    </r>
    <r>
      <rPr>
        <b/>
        <sz val="36"/>
        <color rgb="FF7CB257"/>
        <rFont val="Arial"/>
        <family val="2"/>
      </rPr>
      <t xml:space="preserve"> </t>
    </r>
    <r>
      <rPr>
        <b/>
        <sz val="36"/>
        <color rgb="FF595959"/>
        <rFont val="Arial"/>
        <family val="2"/>
      </rPr>
      <t>Mineral</t>
    </r>
  </si>
  <si>
    <t>WDVS für Außenwände zur Anwendung auf massiven, mineralischen Untergründen gem. ETA-16/0400 und AbZ Nr. Z-33.43-1582</t>
  </si>
  <si>
    <t>Klebemörtel</t>
  </si>
  <si>
    <t>STEICO protect L dry  80 x 600 x 400 mm</t>
  </si>
  <si>
    <t>Befestigungsmittel-Timber</t>
  </si>
  <si>
    <t>Befestigungsmittel-Mineral</t>
  </si>
  <si>
    <t>Zuschlag für Farbtonklasse C3 [B]   €/kg</t>
  </si>
  <si>
    <t>Zuschlag für Farbtonklasse C2 [A]   €/Liter</t>
  </si>
  <si>
    <t>Zuschlag für Farbtonklasse C3 [A]   €/Liter</t>
  </si>
  <si>
    <t>Zuschlag für Farbtonklasse C2 [B]   €/kg</t>
  </si>
  <si>
    <t>Fassadenfarbe (2-facher Anstrich)</t>
  </si>
  <si>
    <t>Bruttopreis/VE = 100</t>
  </si>
  <si>
    <t>STEICOspecial dry 60 x 2.230 x 600 mm 4-seitig Nut Feder</t>
  </si>
  <si>
    <t>STEICOspecial dry 80 x 2.230 x 600 mm 4-seitig Nut Feder</t>
  </si>
  <si>
    <t>STEICOspecial dry 100 x 2.230 x 600 mm 4-seitig Nut Feder</t>
  </si>
  <si>
    <t>STEICOspecial dry 120 x 1.880 x 600 mm 4-seitig Nut Feder</t>
  </si>
  <si>
    <t>STEICOspecial dry 140 x 1.880 x 600 mm 4-seitig Nut Feder</t>
  </si>
  <si>
    <t>STEICOspecial dry 160 x 1.880 x 600 mm 4-seitig Nut Feder</t>
  </si>
  <si>
    <t>STEICO secure Render F K1,5  Farbton: weiß  25 kg/Eimer</t>
  </si>
  <si>
    <t>STEICO secure Render F K2,0  Farbton: weiß  25 kg/Eimer</t>
  </si>
  <si>
    <t>STEICO secure Render F K3,0  Farbton: weiß   25 kg/Eimer</t>
  </si>
  <si>
    <t>STEICO secure Render F K1,5  Farbton: getönt  C1 25 kg/Eimer</t>
  </si>
  <si>
    <t>STEICO secure Render F K2,0  Farbton: getönt C1 25 kg/Eimer</t>
  </si>
  <si>
    <t>STEICO secure Render F K3,0  Farbton: getönt  C1  25 kg/Eimer</t>
  </si>
  <si>
    <t>STEICO secure Color  F: weiß  15 Liter/Eimer</t>
  </si>
  <si>
    <t>STEICO secure Color  F: getönt C1  15 Liter/Eimer</t>
  </si>
  <si>
    <t>0,20 l/m² pro Anstrich</t>
  </si>
  <si>
    <t>STEICO secure Color  F: SB  15 Liter/Eimer</t>
  </si>
  <si>
    <t>ejotherm HFS 100</t>
  </si>
  <si>
    <t>STEICOprotect / STEICO protect dry / STEICOduo dry / STEICOspecial dry Holzfaser-Dämmplatten</t>
  </si>
  <si>
    <t>ejotherm S1 200</t>
  </si>
  <si>
    <t>Stand: 10/2023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</si>
</sst>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_-* #,##0.000\ _€_-;\-* #,##0.000\ _€_-;_-* &quot;-&quot;??\ _€_-;_-@_-"/>
    <numFmt numFmtId="166" formatCode="_-* #,##0.000\ _€_-;\-* #,##0.000\ _€_-;_-* &quot;-&quot;???\ _€_-;_-@_-"/>
    <numFmt numFmtId="167" formatCode="0.000"/>
    <numFmt numFmtId="168" formatCode="0\ &quot;m²&quot;"/>
    <numFmt numFmtId="169" formatCode="_-* #,##0\ _€_-;\-* #,##0\ _€_-;_-* &quot;-&quot;??\ _€_-;_-@_-"/>
  </numFmts>
  <fonts count="4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8"/>
      <color theme="1"/>
      <name val="Arial"/>
      <family val="2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Arial"/>
      <family val="2"/>
    </font>
    <font>
      <sz val="14"/>
      <color theme="1"/>
      <name val="Arial"/>
      <family val="2"/>
    </font>
    <font>
      <b/>
      <sz val="12"/>
      <name val="Arial"/>
      <family val="2"/>
    </font>
    <font>
      <b/>
      <sz val="36"/>
      <color theme="1"/>
      <name val="Arial"/>
      <family val="2"/>
    </font>
    <font>
      <b/>
      <sz val="36"/>
      <color rgb="FF5F5F5F"/>
      <name val="Arial"/>
      <family val="2"/>
    </font>
    <font>
      <b/>
      <i/>
      <sz val="36"/>
      <color rgb="FF7CB257"/>
      <name val="Arial"/>
      <family val="2"/>
    </font>
    <font>
      <b/>
      <sz val="36"/>
      <color rgb="FF7CB257"/>
      <name val="Arial"/>
      <family val="2"/>
    </font>
    <font>
      <b/>
      <sz val="36"/>
      <color theme="1" tint="0.34998626667073579"/>
      <name val="Arial"/>
      <family val="2"/>
    </font>
    <font>
      <sz val="36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vertAlign val="subscript"/>
      <sz val="11"/>
      <color theme="1"/>
      <name val="Arial"/>
      <family val="2"/>
    </font>
    <font>
      <sz val="10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vertAlign val="subscript"/>
      <sz val="10"/>
      <color theme="1"/>
      <name val="Arial"/>
      <family val="2"/>
    </font>
    <font>
      <b/>
      <sz val="16"/>
      <color theme="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FF0000"/>
      <name val="Arial"/>
      <family val="2"/>
    </font>
    <font>
      <i/>
      <sz val="10"/>
      <color theme="1"/>
      <name val="Arial"/>
      <family val="2"/>
    </font>
    <font>
      <b/>
      <u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1"/>
      <color theme="0"/>
      <name val="Calibri"/>
      <family val="2"/>
      <scheme val="minor"/>
    </font>
    <font>
      <b/>
      <sz val="16"/>
      <color theme="0"/>
      <name val="Arial"/>
      <family val="2"/>
    </font>
    <font>
      <u/>
      <sz val="11"/>
      <color theme="1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i/>
      <sz val="14"/>
      <color rgb="FF3F3F76"/>
      <name val="Calibri"/>
      <family val="2"/>
      <scheme val="minor"/>
    </font>
    <font>
      <b/>
      <sz val="36"/>
      <color rgb="FF000000"/>
      <name val="Arial"/>
      <family val="2"/>
    </font>
    <font>
      <b/>
      <sz val="36"/>
      <color rgb="FF595959"/>
      <name val="Arial"/>
      <family val="2"/>
    </font>
    <font>
      <sz val="11"/>
      <color theme="0" tint="-0.499984740745262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CB257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theme="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C99"/>
      </patternFill>
    </fill>
    <fill>
      <patternFill patternType="solid">
        <fgColor rgb="FFF2F2F2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7">
    <xf numFmtId="0" fontId="0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7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10" borderId="26" applyNumberFormat="0" applyAlignment="0" applyProtection="0"/>
    <xf numFmtId="0" fontId="36" fillId="11" borderId="26" applyNumberFormat="0" applyAlignment="0" applyProtection="0"/>
  </cellStyleXfs>
  <cellXfs count="245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/>
    <xf numFmtId="0" fontId="0" fillId="0" borderId="0" xfId="0" applyBorder="1"/>
    <xf numFmtId="0" fontId="4" fillId="3" borderId="1" xfId="0" applyFont="1" applyFill="1" applyBorder="1" applyAlignment="1">
      <alignment vertical="top" wrapText="1"/>
    </xf>
    <xf numFmtId="0" fontId="4" fillId="2" borderId="0" xfId="0" applyFont="1" applyFill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5" fillId="2" borderId="0" xfId="0" applyFont="1" applyFill="1" applyBorder="1" applyAlignment="1">
      <alignment vertical="top"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4" borderId="0" xfId="0" applyFill="1"/>
    <xf numFmtId="0" fontId="0" fillId="2" borderId="1" xfId="0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1" xfId="0" applyFill="1" applyBorder="1"/>
    <xf numFmtId="166" fontId="0" fillId="2" borderId="1" xfId="0" applyNumberFormat="1" applyFill="1" applyBorder="1" applyAlignment="1">
      <alignment horizontal="center"/>
    </xf>
    <xf numFmtId="167" fontId="0" fillId="0" borderId="1" xfId="0" applyNumberFormat="1" applyBorder="1" applyAlignment="1">
      <alignment horizontal="center"/>
    </xf>
    <xf numFmtId="0" fontId="0" fillId="4" borderId="0" xfId="0" applyFill="1" applyAlignment="1">
      <alignment horizontal="center"/>
    </xf>
    <xf numFmtId="0" fontId="0" fillId="0" borderId="1" xfId="0" applyFill="1" applyBorder="1" applyAlignment="1">
      <alignment horizontal="center"/>
    </xf>
    <xf numFmtId="0" fontId="7" fillId="0" borderId="0" xfId="0" applyFont="1" applyFill="1"/>
    <xf numFmtId="0" fontId="0" fillId="0" borderId="0" xfId="0" applyFill="1"/>
    <xf numFmtId="0" fontId="0" fillId="0" borderId="0" xfId="0" applyFill="1" applyBorder="1"/>
    <xf numFmtId="0" fontId="7" fillId="0" borderId="0" xfId="0" applyFont="1" applyFill="1" applyBorder="1"/>
    <xf numFmtId="0" fontId="0" fillId="0" borderId="1" xfId="0" applyFill="1" applyBorder="1"/>
    <xf numFmtId="167" fontId="0" fillId="0" borderId="1" xfId="0" applyNumberFormat="1" applyFill="1" applyBorder="1" applyAlignment="1">
      <alignment horizontal="center"/>
    </xf>
    <xf numFmtId="0" fontId="5" fillId="0" borderId="0" xfId="0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horizontal="center"/>
      <protection hidden="1"/>
    </xf>
    <xf numFmtId="0" fontId="5" fillId="0" borderId="0" xfId="0" applyFont="1" applyBorder="1" applyAlignment="1">
      <alignment horizontal="center"/>
    </xf>
    <xf numFmtId="10" fontId="5" fillId="0" borderId="0" xfId="0" applyNumberFormat="1" applyFont="1" applyBorder="1" applyAlignment="1" applyProtection="1">
      <alignment horizontal="center" vertical="center"/>
      <protection hidden="1"/>
    </xf>
    <xf numFmtId="10" fontId="9" fillId="0" borderId="0" xfId="0" applyNumberFormat="1" applyFont="1" applyBorder="1" applyAlignment="1" applyProtection="1">
      <alignment horizontal="center" vertical="center"/>
      <protection hidden="1"/>
    </xf>
    <xf numFmtId="2" fontId="4" fillId="3" borderId="1" xfId="0" applyNumberFormat="1" applyFont="1" applyFill="1" applyBorder="1" applyAlignment="1">
      <alignment vertical="top" wrapText="1"/>
    </xf>
    <xf numFmtId="0" fontId="4" fillId="0" borderId="0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/>
    </xf>
    <xf numFmtId="0" fontId="11" fillId="0" borderId="0" xfId="0" applyFont="1" applyBorder="1" applyAlignment="1" applyProtection="1">
      <alignment horizontal="left"/>
      <protection hidden="1"/>
    </xf>
    <xf numFmtId="10" fontId="9" fillId="0" borderId="0" xfId="0" applyNumberFormat="1" applyFont="1" applyBorder="1" applyAlignment="1" applyProtection="1">
      <alignment horizontal="center"/>
      <protection hidden="1"/>
    </xf>
    <xf numFmtId="0" fontId="12" fillId="0" borderId="0" xfId="0" applyFont="1" applyBorder="1" applyAlignment="1" applyProtection="1">
      <alignment horizontal="left"/>
      <protection hidden="1"/>
    </xf>
    <xf numFmtId="0" fontId="17" fillId="0" borderId="0" xfId="0" applyFont="1" applyBorder="1" applyAlignment="1" applyProtection="1">
      <alignment horizontal="center" vertical="center"/>
      <protection hidden="1"/>
    </xf>
    <xf numFmtId="0" fontId="17" fillId="0" borderId="0" xfId="0" applyFont="1" applyBorder="1" applyAlignment="1" applyProtection="1">
      <alignment horizontal="center"/>
      <protection hidden="1"/>
    </xf>
    <xf numFmtId="0" fontId="17" fillId="0" borderId="0" xfId="0" applyFont="1" applyFill="1" applyBorder="1" applyAlignment="1" applyProtection="1">
      <alignment horizontal="center" vertical="center"/>
      <protection hidden="1"/>
    </xf>
    <xf numFmtId="10" fontId="17" fillId="0" borderId="0" xfId="0" applyNumberFormat="1" applyFont="1" applyBorder="1" applyAlignment="1" applyProtection="1">
      <alignment horizontal="center" vertical="center"/>
      <protection hidden="1"/>
    </xf>
    <xf numFmtId="0" fontId="18" fillId="6" borderId="1" xfId="0" applyFont="1" applyFill="1" applyBorder="1" applyAlignment="1" applyProtection="1">
      <alignment horizontal="center" vertical="center" wrapText="1"/>
      <protection hidden="1"/>
    </xf>
    <xf numFmtId="0" fontId="18" fillId="7" borderId="1" xfId="0" applyFont="1" applyFill="1" applyBorder="1" applyAlignment="1" applyProtection="1">
      <alignment horizontal="center" vertical="center" wrapText="1"/>
      <protection hidden="1"/>
    </xf>
    <xf numFmtId="0" fontId="19" fillId="0" borderId="0" xfId="0" applyFont="1" applyBorder="1" applyAlignment="1" applyProtection="1">
      <alignment horizontal="center" vertical="center"/>
      <protection hidden="1"/>
    </xf>
    <xf numFmtId="0" fontId="20" fillId="6" borderId="1" xfId="0" applyFont="1" applyFill="1" applyBorder="1" applyAlignment="1" applyProtection="1">
      <alignment horizontal="center" vertical="center" wrapText="1"/>
      <protection hidden="1"/>
    </xf>
    <xf numFmtId="10" fontId="20" fillId="6" borderId="1" xfId="0" applyNumberFormat="1" applyFont="1" applyFill="1" applyBorder="1" applyAlignment="1" applyProtection="1">
      <alignment horizontal="center" vertical="center" wrapText="1"/>
      <protection hidden="1"/>
    </xf>
    <xf numFmtId="0" fontId="19" fillId="0" borderId="0" xfId="0" applyFont="1" applyBorder="1" applyAlignment="1" applyProtection="1">
      <alignment horizontal="center"/>
      <protection hidden="1"/>
    </xf>
    <xf numFmtId="1" fontId="19" fillId="0" borderId="1" xfId="0" applyNumberFormat="1" applyFont="1" applyFill="1" applyBorder="1" applyAlignment="1" applyProtection="1">
      <alignment horizontal="center" vertical="center"/>
      <protection hidden="1"/>
    </xf>
    <xf numFmtId="0" fontId="19" fillId="0" borderId="1" xfId="0" applyFont="1" applyBorder="1" applyAlignment="1" applyProtection="1">
      <alignment horizontal="center" vertical="center"/>
      <protection hidden="1"/>
    </xf>
    <xf numFmtId="0" fontId="19" fillId="0" borderId="1" xfId="0" applyFont="1" applyFill="1" applyBorder="1" applyAlignment="1" applyProtection="1">
      <alignment horizontal="center" vertical="center"/>
      <protection hidden="1"/>
    </xf>
    <xf numFmtId="44" fontId="19" fillId="0" borderId="1" xfId="0" applyNumberFormat="1" applyFont="1" applyBorder="1" applyAlignment="1" applyProtection="1">
      <alignment horizontal="center" vertical="center"/>
      <protection hidden="1"/>
    </xf>
    <xf numFmtId="10" fontId="19" fillId="0" borderId="1" xfId="0" applyNumberFormat="1" applyFont="1" applyFill="1" applyBorder="1" applyAlignment="1" applyProtection="1">
      <alignment horizontal="center" vertical="center"/>
      <protection hidden="1"/>
    </xf>
    <xf numFmtId="0" fontId="19" fillId="0" borderId="15" xfId="0" applyFont="1" applyBorder="1" applyAlignment="1" applyProtection="1">
      <alignment horizontal="center" vertical="center"/>
      <protection hidden="1"/>
    </xf>
    <xf numFmtId="0" fontId="4" fillId="5" borderId="5" xfId="0" applyFont="1" applyFill="1" applyBorder="1" applyAlignment="1" applyProtection="1">
      <alignment horizontal="left" vertical="center"/>
      <protection hidden="1"/>
    </xf>
    <xf numFmtId="10" fontId="5" fillId="5" borderId="13" xfId="0" applyNumberFormat="1" applyFont="1" applyFill="1" applyBorder="1" applyAlignment="1" applyProtection="1">
      <alignment horizontal="center"/>
      <protection hidden="1"/>
    </xf>
    <xf numFmtId="0" fontId="5" fillId="5" borderId="6" xfId="0" applyFont="1" applyFill="1" applyBorder="1" applyAlignment="1" applyProtection="1">
      <alignment horizontal="center"/>
      <protection hidden="1"/>
    </xf>
    <xf numFmtId="0" fontId="5" fillId="5" borderId="6" xfId="0" applyFont="1" applyFill="1" applyBorder="1" applyAlignment="1" applyProtection="1">
      <alignment horizontal="center" vertical="center"/>
      <protection hidden="1"/>
    </xf>
    <xf numFmtId="44" fontId="4" fillId="5" borderId="4" xfId="0" applyNumberFormat="1" applyFont="1" applyFill="1" applyBorder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horizontal="left" vertical="top"/>
      <protection hidden="1"/>
    </xf>
    <xf numFmtId="0" fontId="4" fillId="0" borderId="6" xfId="0" applyFont="1" applyBorder="1" applyAlignment="1" applyProtection="1">
      <alignment horizontal="left"/>
      <protection hidden="1"/>
    </xf>
    <xf numFmtId="0" fontId="5" fillId="0" borderId="6" xfId="0" applyFont="1" applyBorder="1" applyAlignment="1" applyProtection="1">
      <alignment horizontal="center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44" fontId="5" fillId="0" borderId="4" xfId="0" applyNumberFormat="1" applyFont="1" applyBorder="1" applyAlignment="1" applyProtection="1">
      <alignment horizontal="center" vertical="center"/>
      <protection hidden="1"/>
    </xf>
    <xf numFmtId="0" fontId="4" fillId="6" borderId="5" xfId="0" applyFont="1" applyFill="1" applyBorder="1" applyAlignment="1" applyProtection="1">
      <alignment horizontal="left" vertical="center"/>
      <protection hidden="1"/>
    </xf>
    <xf numFmtId="10" fontId="5" fillId="6" borderId="14" xfId="0" applyNumberFormat="1" applyFont="1" applyFill="1" applyBorder="1" applyAlignment="1" applyProtection="1">
      <alignment horizontal="center"/>
      <protection hidden="1"/>
    </xf>
    <xf numFmtId="0" fontId="5" fillId="6" borderId="6" xfId="0" applyFont="1" applyFill="1" applyBorder="1" applyAlignment="1" applyProtection="1">
      <alignment horizontal="center"/>
      <protection hidden="1"/>
    </xf>
    <xf numFmtId="0" fontId="4" fillId="6" borderId="6" xfId="0" applyFont="1" applyFill="1" applyBorder="1" applyAlignment="1" applyProtection="1">
      <alignment horizontal="center" vertical="center"/>
      <protection hidden="1"/>
    </xf>
    <xf numFmtId="44" fontId="4" fillId="6" borderId="4" xfId="0" applyNumberFormat="1" applyFont="1" applyFill="1" applyBorder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horizontal="center" vertical="center"/>
      <protection hidden="1"/>
    </xf>
    <xf numFmtId="168" fontId="4" fillId="4" borderId="4" xfId="0" applyNumberFormat="1" applyFont="1" applyFill="1" applyBorder="1" applyAlignment="1" applyProtection="1">
      <alignment horizontal="center" vertical="center"/>
      <protection locked="0" hidden="1"/>
    </xf>
    <xf numFmtId="0" fontId="4" fillId="6" borderId="10" xfId="0" applyFont="1" applyFill="1" applyBorder="1" applyAlignment="1" applyProtection="1">
      <alignment horizontal="center" vertical="center"/>
      <protection hidden="1"/>
    </xf>
    <xf numFmtId="10" fontId="4" fillId="4" borderId="4" xfId="0" applyNumberFormat="1" applyFont="1" applyFill="1" applyBorder="1" applyAlignment="1" applyProtection="1">
      <alignment horizontal="center" vertical="center"/>
      <protection locked="0" hidden="1"/>
    </xf>
    <xf numFmtId="0" fontId="4" fillId="6" borderId="4" xfId="0" applyFont="1" applyFill="1" applyBorder="1" applyAlignment="1" applyProtection="1">
      <alignment horizontal="center" vertical="center"/>
      <protection hidden="1"/>
    </xf>
    <xf numFmtId="0" fontId="4" fillId="6" borderId="11" xfId="0" applyFont="1" applyFill="1" applyBorder="1" applyAlignment="1" applyProtection="1">
      <alignment horizontal="center" vertical="center"/>
      <protection hidden="1"/>
    </xf>
    <xf numFmtId="10" fontId="19" fillId="0" borderId="0" xfId="0" applyNumberFormat="1" applyFont="1" applyBorder="1" applyAlignment="1" applyProtection="1">
      <alignment horizontal="center" vertical="center"/>
      <protection hidden="1"/>
    </xf>
    <xf numFmtId="0" fontId="18" fillId="2" borderId="0" xfId="0" applyFont="1" applyFill="1" applyBorder="1" applyAlignment="1" applyProtection="1">
      <alignment horizontal="center" vertical="center"/>
      <protection hidden="1"/>
    </xf>
    <xf numFmtId="0" fontId="19" fillId="2" borderId="0" xfId="0" applyFont="1" applyFill="1" applyBorder="1" applyAlignment="1" applyProtection="1">
      <alignment horizontal="center"/>
      <protection hidden="1"/>
    </xf>
    <xf numFmtId="0" fontId="22" fillId="2" borderId="0" xfId="0" applyFont="1" applyFill="1" applyBorder="1" applyAlignment="1" applyProtection="1">
      <alignment horizontal="center"/>
      <protection hidden="1"/>
    </xf>
    <xf numFmtId="0" fontId="18" fillId="0" borderId="0" xfId="0" applyFont="1" applyBorder="1" applyAlignment="1" applyProtection="1">
      <alignment horizontal="left" vertical="center"/>
      <protection hidden="1"/>
    </xf>
    <xf numFmtId="0" fontId="19" fillId="0" borderId="0" xfId="0" applyFont="1" applyBorder="1" applyAlignment="1" applyProtection="1">
      <alignment horizontal="left" vertical="center"/>
      <protection hidden="1"/>
    </xf>
    <xf numFmtId="0" fontId="0" fillId="0" borderId="0" xfId="0" applyAlignment="1">
      <alignment vertical="center"/>
    </xf>
    <xf numFmtId="0" fontId="19" fillId="2" borderId="0" xfId="0" applyFont="1" applyFill="1" applyBorder="1" applyAlignment="1" applyProtection="1">
      <alignment horizontal="center" vertical="center"/>
      <protection hidden="1"/>
    </xf>
    <xf numFmtId="10" fontId="19" fillId="0" borderId="0" xfId="0" applyNumberFormat="1" applyFont="1" applyBorder="1" applyAlignment="1" applyProtection="1">
      <alignment horizontal="center"/>
      <protection hidden="1"/>
    </xf>
    <xf numFmtId="0" fontId="19" fillId="0" borderId="0" xfId="0" applyFont="1" applyBorder="1" applyAlignment="1">
      <alignment horizontal="center"/>
    </xf>
    <xf numFmtId="0" fontId="19" fillId="2" borderId="0" xfId="0" applyFont="1" applyFill="1" applyBorder="1" applyAlignment="1" applyProtection="1">
      <alignment horizontal="left" vertical="top"/>
    </xf>
    <xf numFmtId="0" fontId="19" fillId="2" borderId="0" xfId="0" applyFont="1" applyFill="1" applyBorder="1" applyAlignment="1" applyProtection="1">
      <alignment horizontal="left"/>
    </xf>
    <xf numFmtId="0" fontId="19" fillId="2" borderId="0" xfId="0" applyFont="1" applyFill="1" applyBorder="1" applyAlignment="1" applyProtection="1">
      <alignment horizontal="left" vertical="top" wrapText="1"/>
    </xf>
    <xf numFmtId="0" fontId="19" fillId="2" borderId="0" xfId="0" applyFont="1" applyFill="1" applyBorder="1" applyAlignment="1" applyProtection="1">
      <alignment horizontal="center"/>
    </xf>
    <xf numFmtId="0" fontId="19" fillId="2" borderId="0" xfId="0" applyFont="1" applyFill="1" applyBorder="1" applyAlignment="1" applyProtection="1">
      <alignment horizontal="left" wrapText="1"/>
      <protection hidden="1"/>
    </xf>
    <xf numFmtId="10" fontId="19" fillId="2" borderId="0" xfId="0" applyNumberFormat="1" applyFont="1" applyFill="1" applyBorder="1" applyAlignment="1" applyProtection="1">
      <alignment horizontal="left" wrapText="1"/>
      <protection hidden="1"/>
    </xf>
    <xf numFmtId="0" fontId="19" fillId="0" borderId="0" xfId="0" applyFont="1" applyBorder="1" applyAlignment="1" applyProtection="1">
      <alignment horizontal="left"/>
    </xf>
    <xf numFmtId="0" fontId="9" fillId="0" borderId="18" xfId="0" applyFont="1" applyBorder="1" applyAlignment="1" applyProtection="1">
      <alignment horizontal="center" vertical="center"/>
      <protection hidden="1"/>
    </xf>
    <xf numFmtId="0" fontId="9" fillId="0" borderId="19" xfId="0" applyFont="1" applyBorder="1" applyAlignment="1" applyProtection="1">
      <alignment horizontal="center" vertical="center"/>
      <protection hidden="1"/>
    </xf>
    <xf numFmtId="0" fontId="18" fillId="6" borderId="20" xfId="0" applyFont="1" applyFill="1" applyBorder="1" applyAlignment="1" applyProtection="1">
      <alignment horizontal="center" vertical="center" wrapText="1"/>
      <protection hidden="1"/>
    </xf>
    <xf numFmtId="0" fontId="18" fillId="6" borderId="21" xfId="0" applyFont="1" applyFill="1" applyBorder="1" applyAlignment="1" applyProtection="1">
      <alignment horizontal="center" vertical="center" wrapText="1"/>
      <protection hidden="1"/>
    </xf>
    <xf numFmtId="0" fontId="19" fillId="4" borderId="20" xfId="0" applyFont="1" applyFill="1" applyBorder="1" applyAlignment="1" applyProtection="1">
      <alignment horizontal="center" vertical="center" wrapText="1"/>
      <protection locked="0" hidden="1"/>
    </xf>
    <xf numFmtId="44" fontId="19" fillId="0" borderId="21" xfId="0" applyNumberFormat="1" applyFont="1" applyBorder="1" applyAlignment="1" applyProtection="1">
      <alignment horizontal="center" vertical="center"/>
      <protection hidden="1"/>
    </xf>
    <xf numFmtId="0" fontId="9" fillId="0" borderId="18" xfId="0" applyFont="1" applyBorder="1" applyAlignment="1" applyProtection="1">
      <alignment horizontal="center"/>
      <protection hidden="1"/>
    </xf>
    <xf numFmtId="0" fontId="19" fillId="4" borderId="22" xfId="0" applyFont="1" applyFill="1" applyBorder="1" applyAlignment="1" applyProtection="1">
      <alignment horizontal="center" vertical="center" wrapText="1"/>
      <protection locked="0" hidden="1"/>
    </xf>
    <xf numFmtId="1" fontId="19" fillId="0" borderId="23" xfId="0" applyNumberFormat="1" applyFont="1" applyFill="1" applyBorder="1" applyAlignment="1" applyProtection="1">
      <alignment horizontal="center" vertical="center"/>
      <protection hidden="1"/>
    </xf>
    <xf numFmtId="0" fontId="19" fillId="0" borderId="23" xfId="0" applyFont="1" applyBorder="1" applyAlignment="1" applyProtection="1">
      <alignment horizontal="center" vertical="center"/>
      <protection hidden="1"/>
    </xf>
    <xf numFmtId="0" fontId="19" fillId="0" borderId="23" xfId="0" applyFont="1" applyFill="1" applyBorder="1" applyAlignment="1" applyProtection="1">
      <alignment horizontal="center" vertical="center"/>
      <protection hidden="1"/>
    </xf>
    <xf numFmtId="0" fontId="19" fillId="0" borderId="14" xfId="0" applyFont="1" applyBorder="1" applyAlignment="1" applyProtection="1">
      <alignment horizontal="center" vertical="center"/>
      <protection hidden="1"/>
    </xf>
    <xf numFmtId="44" fontId="19" fillId="0" borderId="23" xfId="0" applyNumberFormat="1" applyFont="1" applyBorder="1" applyAlignment="1" applyProtection="1">
      <alignment horizontal="center" vertical="center"/>
      <protection hidden="1"/>
    </xf>
    <xf numFmtId="10" fontId="19" fillId="0" borderId="23" xfId="0" applyNumberFormat="1" applyFont="1" applyFill="1" applyBorder="1" applyAlignment="1" applyProtection="1">
      <alignment horizontal="center" vertical="center"/>
      <protection hidden="1"/>
    </xf>
    <xf numFmtId="44" fontId="19" fillId="0" borderId="24" xfId="0" applyNumberFormat="1" applyFont="1" applyBorder="1" applyAlignment="1" applyProtection="1">
      <alignment horizontal="center" vertical="center"/>
      <protection hidden="1"/>
    </xf>
    <xf numFmtId="0" fontId="0" fillId="0" borderId="1" xfId="0" applyBorder="1" applyAlignment="1">
      <alignment horizontal="center"/>
    </xf>
    <xf numFmtId="0" fontId="11" fillId="0" borderId="0" xfId="0" applyFont="1" applyBorder="1" applyAlignment="1" applyProtection="1">
      <alignment horizontal="left"/>
    </xf>
    <xf numFmtId="0" fontId="0" fillId="0" borderId="1" xfId="0" applyBorder="1"/>
    <xf numFmtId="165" fontId="0" fillId="0" borderId="1" xfId="2" applyNumberFormat="1" applyFont="1" applyBorder="1" applyAlignment="1">
      <alignment horizontal="left" indent="1"/>
    </xf>
    <xf numFmtId="166" fontId="0" fillId="0" borderId="1" xfId="0" applyNumberFormat="1" applyBorder="1" applyAlignment="1">
      <alignment horizontal="center"/>
    </xf>
    <xf numFmtId="2" fontId="26" fillId="3" borderId="1" xfId="0" applyNumberFormat="1" applyFont="1" applyFill="1" applyBorder="1" applyAlignment="1">
      <alignment horizontal="center"/>
    </xf>
    <xf numFmtId="0" fontId="26" fillId="3" borderId="1" xfId="0" applyFont="1" applyFill="1" applyBorder="1" applyAlignment="1">
      <alignment horizontal="center"/>
    </xf>
    <xf numFmtId="2" fontId="0" fillId="3" borderId="1" xfId="0" applyNumberFormat="1" applyFill="1" applyBorder="1" applyAlignment="1">
      <alignment horizontal="center"/>
    </xf>
    <xf numFmtId="0" fontId="26" fillId="4" borderId="0" xfId="0" applyFont="1" applyFill="1" applyAlignment="1">
      <alignment horizontal="center"/>
    </xf>
    <xf numFmtId="0" fontId="27" fillId="0" borderId="1" xfId="0" applyFont="1" applyBorder="1" applyAlignment="1">
      <alignment horizontal="center"/>
    </xf>
    <xf numFmtId="0" fontId="26" fillId="0" borderId="0" xfId="0" applyFont="1"/>
    <xf numFmtId="0" fontId="26" fillId="0" borderId="0" xfId="0" applyFont="1" applyBorder="1"/>
    <xf numFmtId="2" fontId="4" fillId="4" borderId="4" xfId="0" applyNumberFormat="1" applyFont="1" applyFill="1" applyBorder="1" applyAlignment="1" applyProtection="1">
      <alignment horizontal="center" vertical="center"/>
      <protection locked="0" hidden="1"/>
    </xf>
    <xf numFmtId="2" fontId="0" fillId="0" borderId="1" xfId="0" applyNumberFormat="1" applyFill="1" applyBorder="1"/>
    <xf numFmtId="2" fontId="26" fillId="0" borderId="1" xfId="0" applyNumberFormat="1" applyFont="1" applyFill="1" applyBorder="1" applyAlignment="1">
      <alignment horizontal="right"/>
    </xf>
    <xf numFmtId="0" fontId="29" fillId="2" borderId="0" xfId="0" applyFont="1" applyFill="1" applyBorder="1" applyAlignment="1" applyProtection="1">
      <alignment horizontal="center" vertical="center"/>
      <protection hidden="1"/>
    </xf>
    <xf numFmtId="0" fontId="29" fillId="0" borderId="0" xfId="0" applyFont="1" applyBorder="1" applyAlignment="1" applyProtection="1">
      <alignment horizontal="center" vertical="center"/>
      <protection hidden="1"/>
    </xf>
    <xf numFmtId="0" fontId="30" fillId="0" borderId="0" xfId="0" applyFont="1" applyBorder="1" applyAlignment="1" applyProtection="1">
      <alignment horizontal="left"/>
    </xf>
    <xf numFmtId="0" fontId="30" fillId="2" borderId="0" xfId="0" applyFont="1" applyFill="1" applyBorder="1" applyAlignment="1" applyProtection="1">
      <alignment horizontal="left"/>
    </xf>
    <xf numFmtId="0" fontId="31" fillId="2" borderId="0" xfId="0" applyFont="1" applyFill="1" applyBorder="1" applyAlignment="1" applyProtection="1">
      <alignment horizontal="left"/>
    </xf>
    <xf numFmtId="165" fontId="0" fillId="2" borderId="1" xfId="2" applyNumberFormat="1" applyFont="1" applyFill="1" applyBorder="1" applyAlignment="1">
      <alignment horizontal="left" indent="1"/>
    </xf>
    <xf numFmtId="0" fontId="5" fillId="0" borderId="0" xfId="0" applyFont="1" applyFill="1" applyBorder="1" applyAlignment="1">
      <alignment vertical="top" wrapText="1"/>
    </xf>
    <xf numFmtId="0" fontId="25" fillId="0" borderId="25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vertical="top" wrapText="1"/>
    </xf>
    <xf numFmtId="0" fontId="5" fillId="0" borderId="2" xfId="0" applyFont="1" applyFill="1" applyBorder="1" applyAlignment="1">
      <alignment vertical="top" wrapText="1"/>
    </xf>
    <xf numFmtId="164" fontId="5" fillId="0" borderId="0" xfId="0" applyNumberFormat="1" applyFont="1" applyFill="1" applyBorder="1" applyAlignment="1">
      <alignment vertical="top" wrapText="1"/>
    </xf>
    <xf numFmtId="44" fontId="5" fillId="0" borderId="1" xfId="1" applyFont="1" applyFill="1" applyBorder="1" applyAlignment="1">
      <alignment vertical="top" wrapText="1"/>
    </xf>
    <xf numFmtId="44" fontId="5" fillId="0" borderId="0" xfId="1" applyFont="1" applyFill="1" applyBorder="1" applyAlignment="1">
      <alignment vertical="top" wrapText="1"/>
    </xf>
    <xf numFmtId="169" fontId="5" fillId="0" borderId="1" xfId="2" applyNumberFormat="1" applyFont="1" applyFill="1" applyBorder="1" applyAlignment="1">
      <alignment vertical="top" wrapText="1"/>
    </xf>
    <xf numFmtId="1" fontId="5" fillId="0" borderId="0" xfId="0" applyNumberFormat="1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44" fontId="5" fillId="0" borderId="12" xfId="1" applyFont="1" applyFill="1" applyBorder="1" applyAlignment="1">
      <alignment vertical="top" wrapText="1"/>
    </xf>
    <xf numFmtId="0" fontId="6" fillId="0" borderId="25" xfId="0" applyFont="1" applyFill="1" applyBorder="1" applyAlignment="1">
      <alignment vertical="top" wrapText="1"/>
    </xf>
    <xf numFmtId="0" fontId="4" fillId="0" borderId="9" xfId="0" applyFont="1" applyFill="1" applyBorder="1" applyAlignment="1">
      <alignment vertical="top" wrapText="1"/>
    </xf>
    <xf numFmtId="0" fontId="10" fillId="0" borderId="0" xfId="0" applyFont="1" applyFill="1" applyBorder="1" applyAlignment="1">
      <alignment vertical="top" wrapText="1"/>
    </xf>
    <xf numFmtId="0" fontId="0" fillId="0" borderId="0" xfId="0" applyFill="1" applyAlignment="1">
      <alignment vertical="top"/>
    </xf>
    <xf numFmtId="0" fontId="33" fillId="8" borderId="25" xfId="3" applyFont="1" applyBorder="1" applyAlignment="1">
      <alignment vertical="top" wrapText="1"/>
    </xf>
    <xf numFmtId="0" fontId="32" fillId="8" borderId="8" xfId="3" applyFont="1" applyBorder="1" applyAlignment="1">
      <alignment vertical="top" wrapText="1"/>
    </xf>
    <xf numFmtId="0" fontId="8" fillId="0" borderId="0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5" fillId="9" borderId="1" xfId="0" applyFont="1" applyFill="1" applyBorder="1" applyAlignment="1">
      <alignment vertical="top" wrapText="1"/>
    </xf>
    <xf numFmtId="0" fontId="4" fillId="9" borderId="1" xfId="0" applyFont="1" applyFill="1" applyBorder="1" applyAlignment="1">
      <alignment vertical="top" wrapText="1"/>
    </xf>
    <xf numFmtId="44" fontId="34" fillId="0" borderId="1" xfId="4" applyNumberFormat="1" applyFill="1" applyBorder="1" applyAlignment="1">
      <alignment vertical="top" wrapText="1"/>
    </xf>
    <xf numFmtId="44" fontId="35" fillId="10" borderId="26" xfId="5" applyNumberFormat="1" applyAlignment="1">
      <alignment vertical="top" wrapText="1"/>
    </xf>
    <xf numFmtId="44" fontId="36" fillId="11" borderId="26" xfId="6" applyNumberFormat="1" applyAlignment="1">
      <alignment vertical="top" wrapText="1"/>
    </xf>
    <xf numFmtId="0" fontId="2" fillId="0" borderId="0" xfId="0" applyFont="1"/>
    <xf numFmtId="44" fontId="35" fillId="10" borderId="26" xfId="5" applyNumberFormat="1" applyFont="1" applyAlignment="1">
      <alignment vertical="top" wrapText="1"/>
    </xf>
    <xf numFmtId="0" fontId="36" fillId="11" borderId="26" xfId="6" applyFont="1" applyAlignment="1">
      <alignment vertical="top" wrapText="1"/>
    </xf>
    <xf numFmtId="0" fontId="1" fillId="3" borderId="1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169" fontId="35" fillId="10" borderId="26" xfId="2" applyNumberFormat="1" applyFont="1" applyFill="1" applyBorder="1" applyAlignment="1">
      <alignment horizontal="right" vertical="top" wrapText="1"/>
    </xf>
    <xf numFmtId="169" fontId="2" fillId="0" borderId="0" xfId="2" applyNumberFormat="1" applyFont="1" applyAlignment="1">
      <alignment horizontal="right"/>
    </xf>
    <xf numFmtId="169" fontId="1" fillId="3" borderId="1" xfId="2" applyNumberFormat="1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9" fillId="2" borderId="0" xfId="0" applyFont="1" applyFill="1" applyBorder="1" applyAlignment="1" applyProtection="1">
      <alignment horizontal="left" vertical="top" wrapText="1"/>
    </xf>
    <xf numFmtId="0" fontId="39" fillId="0" borderId="0" xfId="0" applyFont="1" applyFill="1" applyBorder="1" applyAlignment="1" applyProtection="1">
      <alignment horizontal="left"/>
      <protection hidden="1"/>
    </xf>
    <xf numFmtId="2" fontId="0" fillId="2" borderId="1" xfId="0" applyNumberFormat="1" applyFill="1" applyBorder="1" applyAlignment="1">
      <alignment horizontal="center"/>
    </xf>
    <xf numFmtId="166" fontId="0" fillId="4" borderId="0" xfId="0" applyNumberFormat="1" applyFill="1"/>
    <xf numFmtId="0" fontId="5" fillId="0" borderId="1" xfId="0" applyFont="1" applyBorder="1" applyAlignment="1">
      <alignment vertical="top" wrapText="1"/>
    </xf>
    <xf numFmtId="0" fontId="5" fillId="2" borderId="1" xfId="0" applyFont="1" applyFill="1" applyBorder="1" applyAlignment="1">
      <alignment vertical="top" wrapText="1"/>
    </xf>
    <xf numFmtId="164" fontId="5" fillId="2" borderId="0" xfId="0" applyNumberFormat="1" applyFont="1" applyFill="1" applyBorder="1" applyAlignment="1">
      <alignment vertical="top" wrapText="1"/>
    </xf>
    <xf numFmtId="44" fontId="5" fillId="2" borderId="1" xfId="1" applyFont="1" applyFill="1" applyBorder="1" applyAlignment="1">
      <alignment vertical="top" wrapText="1"/>
    </xf>
    <xf numFmtId="0" fontId="5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vertical="top" wrapText="1"/>
    </xf>
    <xf numFmtId="0" fontId="5" fillId="4" borderId="1" xfId="0" applyFont="1" applyFill="1" applyBorder="1" applyAlignment="1">
      <alignment vertical="top" wrapText="1"/>
    </xf>
    <xf numFmtId="44" fontId="5" fillId="0" borderId="1" xfId="1" applyFont="1" applyBorder="1" applyAlignment="1">
      <alignment vertical="top" wrapText="1"/>
    </xf>
    <xf numFmtId="0" fontId="41" fillId="0" borderId="0" xfId="0" applyFont="1" applyBorder="1" applyAlignment="1">
      <alignment horizontal="left" vertical="top" wrapText="1"/>
    </xf>
    <xf numFmtId="0" fontId="5" fillId="2" borderId="25" xfId="0" applyFont="1" applyFill="1" applyBorder="1" applyAlignment="1">
      <alignment vertical="top" wrapText="1"/>
    </xf>
    <xf numFmtId="164" fontId="5" fillId="2" borderId="25" xfId="0" applyNumberFormat="1" applyFont="1" applyFill="1" applyBorder="1" applyAlignment="1">
      <alignment vertical="top" wrapText="1"/>
    </xf>
    <xf numFmtId="0" fontId="0" fillId="0" borderId="12" xfId="0" applyBorder="1"/>
    <xf numFmtId="0" fontId="0" fillId="0" borderId="12" xfId="0" applyBorder="1" applyAlignment="1">
      <alignment horizontal="center"/>
    </xf>
    <xf numFmtId="0" fontId="0" fillId="2" borderId="12" xfId="0" applyFill="1" applyBorder="1"/>
    <xf numFmtId="0" fontId="0" fillId="0" borderId="12" xfId="0" applyFill="1" applyBorder="1"/>
    <xf numFmtId="0" fontId="0" fillId="2" borderId="12" xfId="0" applyFont="1" applyFill="1" applyBorder="1" applyAlignment="1">
      <alignment horizontal="center"/>
    </xf>
    <xf numFmtId="167" fontId="0" fillId="0" borderId="12" xfId="0" applyNumberFormat="1" applyFill="1" applyBorder="1" applyAlignment="1">
      <alignment horizontal="center"/>
    </xf>
    <xf numFmtId="2" fontId="0" fillId="3" borderId="12" xfId="0" applyNumberFormat="1" applyFill="1" applyBorder="1" applyAlignment="1">
      <alignment horizontal="center"/>
    </xf>
    <xf numFmtId="2" fontId="26" fillId="2" borderId="12" xfId="0" applyNumberFormat="1" applyFont="1" applyFill="1" applyBorder="1" applyAlignment="1">
      <alignment horizontal="right"/>
    </xf>
    <xf numFmtId="0" fontId="26" fillId="2" borderId="1" xfId="0" applyFont="1" applyFill="1" applyBorder="1"/>
    <xf numFmtId="165" fontId="26" fillId="0" borderId="1" xfId="2" applyNumberFormat="1" applyFont="1" applyFill="1" applyBorder="1" applyAlignment="1">
      <alignment horizontal="left" indent="1"/>
    </xf>
    <xf numFmtId="0" fontId="5" fillId="0" borderId="12" xfId="0" applyFont="1" applyFill="1" applyBorder="1" applyAlignment="1">
      <alignment vertical="top" wrapText="1"/>
    </xf>
    <xf numFmtId="0" fontId="5" fillId="0" borderId="23" xfId="0" applyFont="1" applyFill="1" applyBorder="1" applyAlignment="1">
      <alignment vertical="top" wrapText="1"/>
    </xf>
    <xf numFmtId="0" fontId="3" fillId="0" borderId="23" xfId="0" applyFont="1" applyFill="1" applyBorder="1" applyAlignment="1">
      <alignment vertical="top" wrapText="1"/>
    </xf>
    <xf numFmtId="0" fontId="5" fillId="0" borderId="14" xfId="0" applyFont="1" applyFill="1" applyBorder="1" applyAlignment="1">
      <alignment vertical="top" wrapText="1"/>
    </xf>
    <xf numFmtId="164" fontId="5" fillId="0" borderId="14" xfId="0" applyNumberFormat="1" applyFont="1" applyFill="1" applyBorder="1" applyAlignment="1">
      <alignment vertical="top" wrapText="1"/>
    </xf>
    <xf numFmtId="44" fontId="5" fillId="0" borderId="23" xfId="1" applyFont="1" applyFill="1" applyBorder="1" applyAlignment="1">
      <alignment vertical="top" wrapText="1"/>
    </xf>
    <xf numFmtId="0" fontId="5" fillId="0" borderId="27" xfId="0" applyFont="1" applyFill="1" applyBorder="1" applyAlignment="1">
      <alignment vertical="top" wrapText="1"/>
    </xf>
    <xf numFmtId="0" fontId="3" fillId="0" borderId="27" xfId="0" applyFont="1" applyFill="1" applyBorder="1" applyAlignment="1">
      <alignment vertical="top" wrapText="1"/>
    </xf>
    <xf numFmtId="44" fontId="5" fillId="0" borderId="27" xfId="1" applyFont="1" applyFill="1" applyBorder="1" applyAlignment="1">
      <alignment vertical="top" wrapText="1"/>
    </xf>
    <xf numFmtId="0" fontId="5" fillId="0" borderId="28" xfId="0" applyFont="1" applyFill="1" applyBorder="1" applyAlignment="1">
      <alignment vertical="top" wrapText="1"/>
    </xf>
    <xf numFmtId="0" fontId="3" fillId="0" borderId="28" xfId="0" applyFont="1" applyFill="1" applyBorder="1" applyAlignment="1">
      <alignment vertical="top" wrapText="1"/>
    </xf>
    <xf numFmtId="0" fontId="5" fillId="0" borderId="13" xfId="0" applyFont="1" applyFill="1" applyBorder="1" applyAlignment="1">
      <alignment vertical="top" wrapText="1"/>
    </xf>
    <xf numFmtId="164" fontId="5" fillId="0" borderId="13" xfId="0" applyNumberFormat="1" applyFont="1" applyFill="1" applyBorder="1" applyAlignment="1">
      <alignment vertical="top" wrapText="1"/>
    </xf>
    <xf numFmtId="44" fontId="5" fillId="0" borderId="28" xfId="1" applyFont="1" applyFill="1" applyBorder="1" applyAlignment="1">
      <alignment vertical="top" wrapText="1"/>
    </xf>
    <xf numFmtId="0" fontId="5" fillId="0" borderId="29" xfId="0" applyFont="1" applyFill="1" applyBorder="1" applyAlignment="1">
      <alignment vertical="top" wrapText="1"/>
    </xf>
    <xf numFmtId="0" fontId="0" fillId="0" borderId="1" xfId="0" applyFont="1" applyFill="1" applyBorder="1" applyAlignment="1">
      <alignment vertical="top" wrapText="1"/>
    </xf>
    <xf numFmtId="0" fontId="0" fillId="2" borderId="12" xfId="0" applyFill="1" applyBorder="1" applyAlignment="1">
      <alignment horizontal="center"/>
    </xf>
    <xf numFmtId="167" fontId="0" fillId="0" borderId="12" xfId="0" applyNumberFormat="1" applyBorder="1" applyAlignment="1">
      <alignment horizontal="center"/>
    </xf>
    <xf numFmtId="165" fontId="0" fillId="0" borderId="12" xfId="2" applyNumberFormat="1" applyFont="1" applyBorder="1" applyAlignment="1">
      <alignment horizontal="left" indent="1"/>
    </xf>
    <xf numFmtId="166" fontId="0" fillId="2" borderId="12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2" fontId="26" fillId="0" borderId="12" xfId="0" applyNumberFormat="1" applyFont="1" applyFill="1" applyBorder="1" applyAlignment="1">
      <alignment horizontal="right"/>
    </xf>
    <xf numFmtId="0" fontId="0" fillId="0" borderId="23" xfId="0" applyFill="1" applyBorder="1"/>
    <xf numFmtId="0" fontId="0" fillId="2" borderId="23" xfId="0" applyFill="1" applyBorder="1" applyAlignment="1">
      <alignment horizontal="center"/>
    </xf>
    <xf numFmtId="0" fontId="0" fillId="0" borderId="23" xfId="0" applyBorder="1"/>
    <xf numFmtId="167" fontId="0" fillId="0" borderId="23" xfId="0" applyNumberFormat="1" applyBorder="1" applyAlignment="1">
      <alignment horizontal="center"/>
    </xf>
    <xf numFmtId="165" fontId="0" fillId="0" borderId="23" xfId="2" applyNumberFormat="1" applyFont="1" applyBorder="1" applyAlignment="1">
      <alignment horizontal="left" indent="1"/>
    </xf>
    <xf numFmtId="166" fontId="0" fillId="2" borderId="23" xfId="0" applyNumberFormat="1" applyFill="1" applyBorder="1" applyAlignment="1">
      <alignment horizontal="center"/>
    </xf>
    <xf numFmtId="0" fontId="26" fillId="3" borderId="23" xfId="0" applyFon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7" fillId="0" borderId="14" xfId="0" applyFont="1" applyFill="1" applyBorder="1"/>
    <xf numFmtId="2" fontId="26" fillId="0" borderId="23" xfId="0" applyNumberFormat="1" applyFont="1" applyFill="1" applyBorder="1" applyAlignment="1">
      <alignment horizontal="right"/>
    </xf>
    <xf numFmtId="0" fontId="26" fillId="3" borderId="12" xfId="0" applyFont="1" applyFill="1" applyBorder="1" applyAlignment="1">
      <alignment horizontal="center"/>
    </xf>
    <xf numFmtId="2" fontId="0" fillId="3" borderId="23" xfId="0" applyNumberFormat="1" applyFill="1" applyBorder="1" applyAlignment="1">
      <alignment horizontal="center"/>
    </xf>
    <xf numFmtId="0" fontId="26" fillId="0" borderId="12" xfId="0" applyFont="1" applyFill="1" applyBorder="1"/>
    <xf numFmtId="0" fontId="0" fillId="2" borderId="23" xfId="0" applyFill="1" applyBorder="1"/>
    <xf numFmtId="0" fontId="26" fillId="2" borderId="23" xfId="0" applyFont="1" applyFill="1" applyBorder="1"/>
    <xf numFmtId="165" fontId="26" fillId="0" borderId="23" xfId="2" applyNumberFormat="1" applyFont="1" applyFill="1" applyBorder="1" applyAlignment="1">
      <alignment horizontal="left" indent="1"/>
    </xf>
    <xf numFmtId="0" fontId="33" fillId="8" borderId="25" xfId="3" applyFont="1" applyBorder="1" applyAlignment="1">
      <alignment horizontal="left" vertical="top" wrapText="1"/>
    </xf>
    <xf numFmtId="0" fontId="37" fillId="8" borderId="25" xfId="3" applyFont="1" applyBorder="1" applyAlignment="1">
      <alignment horizontal="left" vertical="center" wrapText="1"/>
    </xf>
    <xf numFmtId="0" fontId="38" fillId="10" borderId="5" xfId="5" applyFont="1" applyBorder="1" applyAlignment="1">
      <alignment horizontal="center"/>
    </xf>
    <xf numFmtId="0" fontId="38" fillId="10" borderId="6" xfId="5" applyFont="1" applyBorder="1" applyAlignment="1">
      <alignment horizontal="center"/>
    </xf>
    <xf numFmtId="0" fontId="38" fillId="10" borderId="7" xfId="5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9" fillId="0" borderId="0" xfId="0" applyFont="1" applyFill="1" applyBorder="1" applyAlignment="1" applyProtection="1">
      <alignment horizontal="left" vertical="top" wrapText="1"/>
    </xf>
    <xf numFmtId="0" fontId="19" fillId="2" borderId="0" xfId="0" applyFont="1" applyFill="1" applyBorder="1" applyAlignment="1" applyProtection="1">
      <alignment horizontal="left" vertical="top" wrapText="1"/>
    </xf>
    <xf numFmtId="14" fontId="5" fillId="4" borderId="5" xfId="0" applyNumberFormat="1" applyFont="1" applyFill="1" applyBorder="1" applyAlignment="1" applyProtection="1">
      <alignment horizontal="left" vertical="center"/>
      <protection locked="0" hidden="1"/>
    </xf>
    <xf numFmtId="14" fontId="5" fillId="4" borderId="7" xfId="0" applyNumberFormat="1" applyFont="1" applyFill="1" applyBorder="1" applyAlignment="1" applyProtection="1">
      <alignment horizontal="left" vertical="center"/>
      <protection locked="0" hidden="1"/>
    </xf>
    <xf numFmtId="0" fontId="23" fillId="8" borderId="16" xfId="3" applyFont="1" applyBorder="1" applyAlignment="1" applyProtection="1">
      <alignment horizontal="center" vertical="center"/>
      <protection hidden="1"/>
    </xf>
    <xf numFmtId="0" fontId="23" fillId="8" borderId="13" xfId="3" applyFont="1" applyBorder="1" applyAlignment="1" applyProtection="1">
      <alignment horizontal="center" vertical="center"/>
      <protection hidden="1"/>
    </xf>
    <xf numFmtId="0" fontId="23" fillId="8" borderId="17" xfId="3" applyFont="1" applyBorder="1" applyAlignment="1" applyProtection="1">
      <alignment horizontal="center" vertical="center"/>
      <protection hidden="1"/>
    </xf>
  </cellXfs>
  <cellStyles count="7">
    <cellStyle name="Akzent1" xfId="3" builtinId="29"/>
    <cellStyle name="Berechnung" xfId="6" builtinId="22"/>
    <cellStyle name="Eingabe" xfId="5" builtinId="20"/>
    <cellStyle name="Komma" xfId="2" builtinId="3"/>
    <cellStyle name="Link" xfId="4" builtinId="8"/>
    <cellStyle name="Standard" xfId="0" builtinId="0"/>
    <cellStyle name="Währung" xfId="1" builtinId="4"/>
  </cellStyles>
  <dxfs count="0"/>
  <tableStyles count="0" defaultTableStyle="TableStyleMedium9" defaultPivotStyle="PivotStyleLight16"/>
  <colors>
    <mruColors>
      <color rgb="FF7CB257"/>
      <color rgb="FF777777"/>
      <color rgb="FF00CC00"/>
      <color rgb="FF5F5F5F"/>
      <color rgb="FF4D4D4D"/>
      <color rgb="FF969696"/>
      <color rgb="FF7C57B2"/>
      <color rgb="FF339933"/>
      <color rgb="FF00CC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73</xdr:row>
      <xdr:rowOff>38100</xdr:rowOff>
    </xdr:from>
    <xdr:to>
      <xdr:col>0</xdr:col>
      <xdr:colOff>2924175</xdr:colOff>
      <xdr:row>78</xdr:row>
      <xdr:rowOff>95250</xdr:rowOff>
    </xdr:to>
    <xdr:pic>
      <xdr:nvPicPr>
        <xdr:cNvPr id="6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8013025"/>
          <a:ext cx="4276725" cy="10096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428627</xdr:colOff>
      <xdr:row>0</xdr:row>
      <xdr:rowOff>158001</xdr:rowOff>
    </xdr:from>
    <xdr:to>
      <xdr:col>13</xdr:col>
      <xdr:colOff>124688</xdr:colOff>
      <xdr:row>1</xdr:row>
      <xdr:rowOff>685877</xdr:rowOff>
    </xdr:to>
    <xdr:pic>
      <xdr:nvPicPr>
        <xdr:cNvPr id="9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648827" y="158001"/>
          <a:ext cx="2989707" cy="1337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428627</xdr:colOff>
      <xdr:row>0</xdr:row>
      <xdr:rowOff>158001</xdr:rowOff>
    </xdr:from>
    <xdr:to>
      <xdr:col>13</xdr:col>
      <xdr:colOff>124689</xdr:colOff>
      <xdr:row>1</xdr:row>
      <xdr:rowOff>685877</xdr:rowOff>
    </xdr:to>
    <xdr:pic>
      <xdr:nvPicPr>
        <xdr:cNvPr id="2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192127" y="158001"/>
          <a:ext cx="2991712" cy="1337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9"/>
  <sheetViews>
    <sheetView zoomScaleNormal="100" zoomScaleSheetLayoutView="100" workbookViewId="0">
      <pane ySplit="1" topLeftCell="A2" activePane="bottomLeft" state="frozen"/>
      <selection pane="bottomLeft" activeCell="I4" sqref="I4"/>
    </sheetView>
  </sheetViews>
  <sheetFormatPr baseColWidth="10" defaultColWidth="20.5703125" defaultRowHeight="14.25" outlineLevelRow="1" x14ac:dyDescent="0.25"/>
  <cols>
    <col min="1" max="1" width="45.42578125" style="127" customWidth="1"/>
    <col min="2" max="2" width="36.5703125" style="127" customWidth="1"/>
    <col min="3" max="3" width="5.140625" style="127" bestFit="1" customWidth="1"/>
    <col min="4" max="4" width="12.42578125" style="127" bestFit="1" customWidth="1"/>
    <col min="5" max="5" width="21.85546875" style="127" customWidth="1"/>
    <col min="6" max="6" width="5.140625" style="127" bestFit="1" customWidth="1"/>
    <col min="7" max="8" width="3" style="127" bestFit="1" customWidth="1"/>
    <col min="9" max="9" width="13.5703125" style="127" customWidth="1"/>
    <col min="10" max="10" width="13.140625" style="127" bestFit="1" customWidth="1"/>
    <col min="11" max="11" width="12.42578125" style="127" bestFit="1" customWidth="1"/>
    <col min="12" max="12" width="13.140625" style="127" customWidth="1"/>
    <col min="13" max="16384" width="20.5703125" style="127"/>
  </cols>
  <sheetData>
    <row r="1" spans="1:15" s="148" customFormat="1" ht="21" x14ac:dyDescent="0.25">
      <c r="A1" s="146">
        <v>1</v>
      </c>
      <c r="B1" s="147">
        <v>2</v>
      </c>
      <c r="C1" s="146">
        <v>3</v>
      </c>
      <c r="D1" s="147">
        <v>4</v>
      </c>
      <c r="E1" s="146">
        <v>5</v>
      </c>
      <c r="F1" s="146">
        <v>6</v>
      </c>
      <c r="G1" s="147">
        <v>7</v>
      </c>
      <c r="H1" s="146">
        <v>8</v>
      </c>
      <c r="I1" s="147">
        <v>9</v>
      </c>
      <c r="J1" s="146">
        <v>10</v>
      </c>
    </row>
    <row r="2" spans="1:15" ht="20.25" x14ac:dyDescent="0.25">
      <c r="A2" s="144" t="s">
        <v>135</v>
      </c>
      <c r="J2" s="129"/>
    </row>
    <row r="3" spans="1:15" s="6" customFormat="1" ht="15" x14ac:dyDescent="0.25">
      <c r="A3" s="4" t="s">
        <v>30</v>
      </c>
      <c r="B3" s="4" t="s">
        <v>12</v>
      </c>
      <c r="C3" s="31" t="s">
        <v>5</v>
      </c>
      <c r="D3" s="4" t="s">
        <v>4</v>
      </c>
      <c r="E3" s="4" t="s">
        <v>6</v>
      </c>
      <c r="F3" s="4"/>
      <c r="G3" s="7"/>
      <c r="H3" s="5"/>
      <c r="I3" s="4" t="s">
        <v>215</v>
      </c>
      <c r="J3" s="4" t="s">
        <v>214</v>
      </c>
      <c r="K3"/>
    </row>
    <row r="4" spans="1:15" ht="28.5" customHeight="1" outlineLevel="1" x14ac:dyDescent="0.25">
      <c r="A4" s="131" t="s">
        <v>53</v>
      </c>
      <c r="B4" s="138" t="s">
        <v>229</v>
      </c>
      <c r="C4" s="131">
        <v>25</v>
      </c>
      <c r="D4" s="131" t="s">
        <v>8</v>
      </c>
      <c r="E4" s="131">
        <v>36</v>
      </c>
      <c r="F4" s="131">
        <v>7.5</v>
      </c>
      <c r="H4" s="133"/>
      <c r="I4" s="151" t="s">
        <v>227</v>
      </c>
      <c r="J4" s="136">
        <v>0</v>
      </c>
      <c r="K4"/>
    </row>
    <row r="5" spans="1:15" ht="15" outlineLevel="1" x14ac:dyDescent="0.25">
      <c r="A5" s="131" t="s">
        <v>96</v>
      </c>
      <c r="B5" s="131"/>
      <c r="C5" s="131">
        <v>0</v>
      </c>
      <c r="D5" s="131"/>
      <c r="E5" s="131">
        <v>0</v>
      </c>
      <c r="F5" s="131">
        <v>0</v>
      </c>
      <c r="H5" s="133"/>
      <c r="I5" s="134">
        <v>0</v>
      </c>
      <c r="J5" s="134">
        <v>0</v>
      </c>
      <c r="K5"/>
      <c r="L5"/>
      <c r="M5"/>
      <c r="N5"/>
      <c r="O5"/>
    </row>
    <row r="6" spans="1:15" x14ac:dyDescent="0.25">
      <c r="H6" s="133"/>
      <c r="I6" s="135"/>
      <c r="J6" s="135"/>
    </row>
    <row r="7" spans="1:15" ht="20.25" x14ac:dyDescent="0.25">
      <c r="A7" s="144" t="s">
        <v>240</v>
      </c>
      <c r="J7" s="129"/>
    </row>
    <row r="8" spans="1:15" s="6" customFormat="1" ht="15" x14ac:dyDescent="0.25">
      <c r="A8" s="4" t="s">
        <v>30</v>
      </c>
      <c r="B8" s="4" t="s">
        <v>12</v>
      </c>
      <c r="C8" s="31" t="s">
        <v>5</v>
      </c>
      <c r="D8" s="4" t="s">
        <v>4</v>
      </c>
      <c r="E8" s="4" t="s">
        <v>6</v>
      </c>
      <c r="F8" s="4"/>
      <c r="G8" s="7"/>
      <c r="H8" s="5"/>
      <c r="I8" s="4" t="s">
        <v>215</v>
      </c>
      <c r="J8" s="4" t="s">
        <v>216</v>
      </c>
      <c r="K8"/>
    </row>
    <row r="9" spans="1:15" ht="28.5" outlineLevel="1" x14ac:dyDescent="0.25">
      <c r="A9" s="131" t="s">
        <v>242</v>
      </c>
      <c r="B9" s="131" t="s">
        <v>27</v>
      </c>
      <c r="C9" s="131">
        <v>50</v>
      </c>
      <c r="D9" s="131" t="s">
        <v>3</v>
      </c>
      <c r="E9" s="131">
        <v>33</v>
      </c>
      <c r="F9" s="132">
        <v>1</v>
      </c>
      <c r="H9" s="133"/>
      <c r="I9" s="151" t="s">
        <v>227</v>
      </c>
      <c r="J9" s="136">
        <v>0</v>
      </c>
      <c r="K9"/>
    </row>
    <row r="10" spans="1:15" ht="28.5" outlineLevel="1" x14ac:dyDescent="0.25">
      <c r="A10" s="131" t="s">
        <v>243</v>
      </c>
      <c r="B10" s="131" t="s">
        <v>27</v>
      </c>
      <c r="C10" s="131">
        <v>50</v>
      </c>
      <c r="D10" s="131" t="s">
        <v>3</v>
      </c>
      <c r="E10" s="131">
        <v>33</v>
      </c>
      <c r="F10" s="132">
        <v>1</v>
      </c>
      <c r="H10" s="133"/>
      <c r="I10" s="134"/>
      <c r="J10" s="136" t="s">
        <v>2</v>
      </c>
      <c r="K10"/>
    </row>
    <row r="11" spans="1:15" ht="15" outlineLevel="1" x14ac:dyDescent="0.25">
      <c r="A11" s="131" t="s">
        <v>96</v>
      </c>
      <c r="B11" s="131"/>
      <c r="C11" s="131">
        <v>0</v>
      </c>
      <c r="D11" s="131"/>
      <c r="E11" s="131">
        <v>0</v>
      </c>
      <c r="F11" s="131">
        <v>0</v>
      </c>
      <c r="H11" s="133"/>
      <c r="I11" s="134">
        <v>0</v>
      </c>
      <c r="J11" s="134">
        <v>0</v>
      </c>
      <c r="K11"/>
    </row>
    <row r="12" spans="1:15" x14ac:dyDescent="0.25">
      <c r="H12" s="133"/>
      <c r="I12" s="135"/>
      <c r="J12" s="135"/>
    </row>
    <row r="13" spans="1:15" ht="20.25" x14ac:dyDescent="0.25">
      <c r="A13" s="144" t="s">
        <v>241</v>
      </c>
      <c r="J13" s="129"/>
    </row>
    <row r="14" spans="1:15" s="6" customFormat="1" ht="15" x14ac:dyDescent="0.25">
      <c r="A14" s="4" t="s">
        <v>30</v>
      </c>
      <c r="B14" s="4" t="s">
        <v>12</v>
      </c>
      <c r="C14" s="31" t="s">
        <v>5</v>
      </c>
      <c r="D14" s="4" t="s">
        <v>4</v>
      </c>
      <c r="E14" s="4" t="s">
        <v>6</v>
      </c>
      <c r="F14" s="4"/>
      <c r="G14" s="7"/>
      <c r="H14" s="5"/>
      <c r="I14" s="4" t="s">
        <v>215</v>
      </c>
      <c r="J14" s="4" t="s">
        <v>216</v>
      </c>
      <c r="K14"/>
    </row>
    <row r="15" spans="1:15" ht="28.5" outlineLevel="1" x14ac:dyDescent="0.25">
      <c r="A15" s="131" t="s">
        <v>244</v>
      </c>
      <c r="B15" s="131" t="s">
        <v>27</v>
      </c>
      <c r="C15" s="131">
        <v>50</v>
      </c>
      <c r="D15" s="131" t="s">
        <v>3</v>
      </c>
      <c r="E15" s="131">
        <v>33</v>
      </c>
      <c r="F15" s="132">
        <v>1</v>
      </c>
      <c r="H15" s="133"/>
      <c r="I15" s="151" t="s">
        <v>227</v>
      </c>
      <c r="J15" s="136">
        <v>0</v>
      </c>
      <c r="K15"/>
    </row>
    <row r="16" spans="1:15" ht="28.5" outlineLevel="1" x14ac:dyDescent="0.25">
      <c r="A16" s="131" t="s">
        <v>245</v>
      </c>
      <c r="B16" s="131" t="s">
        <v>27</v>
      </c>
      <c r="C16" s="131">
        <v>50</v>
      </c>
      <c r="D16" s="131" t="s">
        <v>3</v>
      </c>
      <c r="E16" s="131">
        <v>33</v>
      </c>
      <c r="F16" s="132">
        <v>1</v>
      </c>
      <c r="H16" s="133"/>
      <c r="I16" s="134"/>
      <c r="J16" s="136" t="s">
        <v>2</v>
      </c>
      <c r="K16"/>
    </row>
    <row r="17" spans="1:11" ht="15" outlineLevel="1" x14ac:dyDescent="0.25">
      <c r="A17" s="131" t="s">
        <v>96</v>
      </c>
      <c r="B17" s="131"/>
      <c r="C17" s="131">
        <v>0</v>
      </c>
      <c r="D17" s="131"/>
      <c r="E17" s="131">
        <v>0</v>
      </c>
      <c r="F17" s="131">
        <v>0</v>
      </c>
      <c r="H17" s="133"/>
      <c r="I17" s="134">
        <v>0</v>
      </c>
      <c r="J17" s="134">
        <v>0</v>
      </c>
      <c r="K17"/>
    </row>
    <row r="18" spans="1:11" x14ac:dyDescent="0.25">
      <c r="J18" s="135"/>
    </row>
    <row r="19" spans="1:11" ht="20.25" x14ac:dyDescent="0.25">
      <c r="A19" s="144" t="s">
        <v>136</v>
      </c>
    </row>
    <row r="20" spans="1:11" s="6" customFormat="1" ht="15" x14ac:dyDescent="0.25">
      <c r="A20" s="4" t="s">
        <v>30</v>
      </c>
      <c r="B20" s="4" t="s">
        <v>12</v>
      </c>
      <c r="C20" s="31" t="s">
        <v>5</v>
      </c>
      <c r="D20" s="4" t="s">
        <v>4</v>
      </c>
      <c r="E20" s="4" t="s">
        <v>6</v>
      </c>
      <c r="F20" s="4"/>
      <c r="G20" s="7"/>
      <c r="H20" s="5"/>
      <c r="I20" s="4" t="s">
        <v>215</v>
      </c>
      <c r="J20" s="4" t="s">
        <v>214</v>
      </c>
      <c r="K20"/>
    </row>
    <row r="21" spans="1:11" ht="28.5" outlineLevel="1" x14ac:dyDescent="0.25">
      <c r="A21" s="131" t="s">
        <v>140</v>
      </c>
      <c r="B21" s="131" t="s">
        <v>13</v>
      </c>
      <c r="C21" s="131">
        <v>25</v>
      </c>
      <c r="D21" s="131" t="s">
        <v>9</v>
      </c>
      <c r="E21" s="131">
        <v>24</v>
      </c>
      <c r="F21" s="131">
        <v>0.4</v>
      </c>
      <c r="H21" s="133"/>
      <c r="I21" s="151" t="s">
        <v>227</v>
      </c>
      <c r="J21" s="136">
        <v>0</v>
      </c>
      <c r="K21"/>
    </row>
    <row r="22" spans="1:11" ht="28.5" outlineLevel="1" x14ac:dyDescent="0.25">
      <c r="A22" s="131" t="s">
        <v>219</v>
      </c>
      <c r="B22" s="131" t="s">
        <v>13</v>
      </c>
      <c r="C22" s="131">
        <v>25</v>
      </c>
      <c r="D22" s="131" t="s">
        <v>9</v>
      </c>
      <c r="E22" s="131">
        <v>24</v>
      </c>
      <c r="F22" s="131">
        <v>0.4</v>
      </c>
      <c r="H22" s="133"/>
      <c r="I22" s="134"/>
      <c r="J22" s="136" t="s">
        <v>2</v>
      </c>
      <c r="K22"/>
    </row>
    <row r="23" spans="1:11" ht="15" outlineLevel="1" x14ac:dyDescent="0.25">
      <c r="A23" s="131" t="s">
        <v>96</v>
      </c>
      <c r="B23" s="131"/>
      <c r="C23" s="131">
        <v>0</v>
      </c>
      <c r="D23" s="131"/>
      <c r="E23" s="131">
        <v>0</v>
      </c>
      <c r="F23" s="131">
        <v>0</v>
      </c>
      <c r="H23" s="133"/>
      <c r="I23" s="134">
        <v>0</v>
      </c>
      <c r="J23" s="134">
        <v>0</v>
      </c>
      <c r="K23"/>
    </row>
    <row r="24" spans="1:11" x14ac:dyDescent="0.25">
      <c r="H24" s="137"/>
      <c r="I24" s="137"/>
      <c r="J24" s="135"/>
    </row>
    <row r="25" spans="1:11" ht="20.25" x14ac:dyDescent="0.25">
      <c r="A25" s="144" t="s">
        <v>164</v>
      </c>
    </row>
    <row r="26" spans="1:11" s="6" customFormat="1" ht="15" x14ac:dyDescent="0.25">
      <c r="A26" s="4" t="s">
        <v>30</v>
      </c>
      <c r="B26" s="4" t="s">
        <v>12</v>
      </c>
      <c r="C26" s="31" t="s">
        <v>5</v>
      </c>
      <c r="D26" s="4" t="s">
        <v>4</v>
      </c>
      <c r="E26" s="4" t="s">
        <v>6</v>
      </c>
      <c r="F26" s="4"/>
      <c r="G26" s="7"/>
      <c r="H26" s="5"/>
      <c r="I26" s="4" t="s">
        <v>109</v>
      </c>
      <c r="J26" s="4" t="s">
        <v>110</v>
      </c>
      <c r="K26" s="32"/>
    </row>
    <row r="27" spans="1:11" ht="28.5" outlineLevel="1" x14ac:dyDescent="0.25">
      <c r="A27" s="131" t="s">
        <v>220</v>
      </c>
      <c r="B27" s="138" t="s">
        <v>14</v>
      </c>
      <c r="C27" s="138">
        <v>25</v>
      </c>
      <c r="D27" s="131" t="s">
        <v>9</v>
      </c>
      <c r="E27" s="131">
        <v>24</v>
      </c>
      <c r="F27" s="131">
        <v>2.4</v>
      </c>
      <c r="H27" s="133"/>
      <c r="I27" s="134">
        <v>3.85</v>
      </c>
      <c r="J27" s="134">
        <v>4.5999999999999996</v>
      </c>
    </row>
    <row r="28" spans="1:11" ht="28.5" outlineLevel="1" x14ac:dyDescent="0.25">
      <c r="A28" s="131" t="s">
        <v>141</v>
      </c>
      <c r="B28" s="138" t="s">
        <v>15</v>
      </c>
      <c r="C28" s="138">
        <v>25</v>
      </c>
      <c r="D28" s="131" t="s">
        <v>9</v>
      </c>
      <c r="E28" s="131">
        <v>24</v>
      </c>
      <c r="F28" s="131">
        <v>3.1</v>
      </c>
      <c r="H28" s="133"/>
      <c r="I28" s="134">
        <v>3.85</v>
      </c>
      <c r="J28" s="134">
        <v>4.5999999999999996</v>
      </c>
    </row>
    <row r="29" spans="1:11" ht="28.5" outlineLevel="1" x14ac:dyDescent="0.25">
      <c r="A29" s="131" t="s">
        <v>142</v>
      </c>
      <c r="B29" s="138" t="s">
        <v>16</v>
      </c>
      <c r="C29" s="138">
        <v>25</v>
      </c>
      <c r="D29" s="131" t="s">
        <v>9</v>
      </c>
      <c r="E29" s="131">
        <v>24</v>
      </c>
      <c r="F29" s="131">
        <v>4.3</v>
      </c>
      <c r="H29" s="133"/>
      <c r="I29" s="134">
        <v>3.85</v>
      </c>
      <c r="J29" s="134">
        <v>4.5999999999999996</v>
      </c>
    </row>
    <row r="30" spans="1:11" ht="28.5" outlineLevel="1" x14ac:dyDescent="0.25">
      <c r="A30" s="131" t="s">
        <v>143</v>
      </c>
      <c r="B30" s="138" t="s">
        <v>14</v>
      </c>
      <c r="C30" s="138">
        <v>25</v>
      </c>
      <c r="D30" s="131" t="s">
        <v>9</v>
      </c>
      <c r="E30" s="131">
        <v>24</v>
      </c>
      <c r="F30" s="131">
        <v>2.4</v>
      </c>
      <c r="H30" s="133"/>
      <c r="I30" s="134">
        <v>4.79</v>
      </c>
      <c r="J30" s="134">
        <v>5.7</v>
      </c>
    </row>
    <row r="31" spans="1:11" ht="28.5" outlineLevel="1" x14ac:dyDescent="0.25">
      <c r="A31" s="131" t="s">
        <v>221</v>
      </c>
      <c r="B31" s="138" t="s">
        <v>15</v>
      </c>
      <c r="C31" s="138">
        <v>25</v>
      </c>
      <c r="D31" s="131" t="s">
        <v>9</v>
      </c>
      <c r="E31" s="131">
        <v>24</v>
      </c>
      <c r="F31" s="131">
        <v>3.1</v>
      </c>
      <c r="H31" s="133"/>
      <c r="I31" s="134">
        <v>4.79</v>
      </c>
      <c r="J31" s="134">
        <v>5.7</v>
      </c>
    </row>
    <row r="32" spans="1:11" ht="29.25" outlineLevel="1" thickBot="1" x14ac:dyDescent="0.3">
      <c r="A32" s="197" t="s">
        <v>144</v>
      </c>
      <c r="B32" s="198" t="s">
        <v>16</v>
      </c>
      <c r="C32" s="198">
        <v>25</v>
      </c>
      <c r="D32" s="197" t="s">
        <v>9</v>
      </c>
      <c r="E32" s="197">
        <v>24</v>
      </c>
      <c r="F32" s="197">
        <v>4.3</v>
      </c>
      <c r="H32" s="133"/>
      <c r="I32" s="199">
        <v>4.79</v>
      </c>
      <c r="J32" s="199">
        <v>5.7</v>
      </c>
    </row>
    <row r="33" spans="1:10" ht="28.5" outlineLevel="1" x14ac:dyDescent="0.25">
      <c r="A33" s="200" t="s">
        <v>157</v>
      </c>
      <c r="B33" s="201" t="s">
        <v>25</v>
      </c>
      <c r="C33" s="201">
        <v>25</v>
      </c>
      <c r="D33" s="200" t="s">
        <v>9</v>
      </c>
      <c r="E33" s="200">
        <v>24</v>
      </c>
      <c r="F33" s="200">
        <v>2.2999999999999998</v>
      </c>
      <c r="G33" s="202"/>
      <c r="H33" s="203"/>
      <c r="I33" s="204">
        <v>3.85</v>
      </c>
      <c r="J33" s="204">
        <v>4.5999999999999996</v>
      </c>
    </row>
    <row r="34" spans="1:10" ht="28.5" outlineLevel="1" x14ac:dyDescent="0.25">
      <c r="A34" s="131" t="s">
        <v>222</v>
      </c>
      <c r="B34" s="138" t="s">
        <v>26</v>
      </c>
      <c r="C34" s="138">
        <v>25</v>
      </c>
      <c r="D34" s="131" t="s">
        <v>9</v>
      </c>
      <c r="E34" s="131">
        <v>24</v>
      </c>
      <c r="F34" s="131">
        <v>2.8</v>
      </c>
      <c r="H34" s="133"/>
      <c r="I34" s="134">
        <v>3.85</v>
      </c>
      <c r="J34" s="134">
        <v>4.5999999999999996</v>
      </c>
    </row>
    <row r="35" spans="1:10" ht="28.5" outlineLevel="1" x14ac:dyDescent="0.25">
      <c r="A35" s="131" t="s">
        <v>145</v>
      </c>
      <c r="B35" s="138" t="s">
        <v>17</v>
      </c>
      <c r="C35" s="138">
        <v>25</v>
      </c>
      <c r="D35" s="131" t="s">
        <v>9</v>
      </c>
      <c r="E35" s="131">
        <v>24</v>
      </c>
      <c r="F35" s="131">
        <v>3.5</v>
      </c>
      <c r="H35" s="133"/>
      <c r="I35" s="134">
        <v>3.85</v>
      </c>
      <c r="J35" s="134">
        <v>4.5999999999999996</v>
      </c>
    </row>
    <row r="36" spans="1:10" ht="28.5" outlineLevel="1" x14ac:dyDescent="0.25">
      <c r="A36" s="131" t="s">
        <v>158</v>
      </c>
      <c r="B36" s="138" t="s">
        <v>25</v>
      </c>
      <c r="C36" s="138">
        <v>25</v>
      </c>
      <c r="D36" s="131" t="s">
        <v>9</v>
      </c>
      <c r="E36" s="131">
        <v>24</v>
      </c>
      <c r="F36" s="131">
        <v>2.2999999999999998</v>
      </c>
      <c r="H36" s="133"/>
      <c r="I36" s="134">
        <v>4.79</v>
      </c>
      <c r="J36" s="134">
        <v>5.7</v>
      </c>
    </row>
    <row r="37" spans="1:10" ht="28.5" outlineLevel="1" x14ac:dyDescent="0.25">
      <c r="A37" s="131" t="s">
        <v>159</v>
      </c>
      <c r="B37" s="138" t="s">
        <v>26</v>
      </c>
      <c r="C37" s="138">
        <v>25</v>
      </c>
      <c r="D37" s="131" t="s">
        <v>9</v>
      </c>
      <c r="E37" s="131">
        <v>24</v>
      </c>
      <c r="F37" s="131">
        <v>2.8</v>
      </c>
      <c r="H37" s="133"/>
      <c r="I37" s="134">
        <v>4.79</v>
      </c>
      <c r="J37" s="134">
        <v>5.7</v>
      </c>
    </row>
    <row r="38" spans="1:10" ht="29.25" outlineLevel="1" thickBot="1" x14ac:dyDescent="0.3">
      <c r="A38" s="192" t="s">
        <v>160</v>
      </c>
      <c r="B38" s="193" t="s">
        <v>17</v>
      </c>
      <c r="C38" s="193">
        <v>25</v>
      </c>
      <c r="D38" s="192" t="s">
        <v>9</v>
      </c>
      <c r="E38" s="192">
        <v>24</v>
      </c>
      <c r="F38" s="192">
        <v>3.5</v>
      </c>
      <c r="G38" s="194"/>
      <c r="H38" s="195"/>
      <c r="I38" s="196">
        <v>4.79</v>
      </c>
      <c r="J38" s="196">
        <v>5.7</v>
      </c>
    </row>
    <row r="39" spans="1:10" ht="28.5" outlineLevel="1" x14ac:dyDescent="0.25">
      <c r="A39" s="131" t="s">
        <v>265</v>
      </c>
      <c r="B39" s="138" t="s">
        <v>14</v>
      </c>
      <c r="C39" s="138">
        <v>25</v>
      </c>
      <c r="D39" s="131" t="s">
        <v>9</v>
      </c>
      <c r="E39" s="131">
        <v>24</v>
      </c>
      <c r="F39" s="131">
        <v>2.4</v>
      </c>
      <c r="H39" s="133"/>
      <c r="I39" s="134">
        <v>4.5999999999999996</v>
      </c>
      <c r="J39" s="134">
        <v>5.14</v>
      </c>
    </row>
    <row r="40" spans="1:10" ht="28.5" outlineLevel="1" x14ac:dyDescent="0.25">
      <c r="A40" s="131" t="s">
        <v>266</v>
      </c>
      <c r="B40" s="138" t="s">
        <v>15</v>
      </c>
      <c r="C40" s="138">
        <v>25</v>
      </c>
      <c r="D40" s="131" t="s">
        <v>9</v>
      </c>
      <c r="E40" s="131">
        <v>24</v>
      </c>
      <c r="F40" s="131">
        <v>3.1</v>
      </c>
      <c r="H40" s="133"/>
      <c r="I40" s="134">
        <v>4.5999999999999996</v>
      </c>
      <c r="J40" s="134">
        <v>5.14</v>
      </c>
    </row>
    <row r="41" spans="1:10" ht="28.5" outlineLevel="1" x14ac:dyDescent="0.25">
      <c r="A41" s="131" t="s">
        <v>267</v>
      </c>
      <c r="B41" s="138" t="s">
        <v>16</v>
      </c>
      <c r="C41" s="138">
        <v>25</v>
      </c>
      <c r="D41" s="131" t="s">
        <v>9</v>
      </c>
      <c r="E41" s="131">
        <v>24</v>
      </c>
      <c r="F41" s="131">
        <v>4.3</v>
      </c>
      <c r="H41" s="133"/>
      <c r="I41" s="134">
        <v>4.5999999999999996</v>
      </c>
      <c r="J41" s="134">
        <v>5.14</v>
      </c>
    </row>
    <row r="42" spans="1:10" ht="28.5" outlineLevel="1" x14ac:dyDescent="0.25">
      <c r="A42" s="131" t="s">
        <v>268</v>
      </c>
      <c r="B42" s="138" t="s">
        <v>14</v>
      </c>
      <c r="C42" s="138">
        <v>25</v>
      </c>
      <c r="D42" s="131" t="s">
        <v>9</v>
      </c>
      <c r="E42" s="131">
        <v>24</v>
      </c>
      <c r="F42" s="131">
        <v>2.4</v>
      </c>
      <c r="H42" s="133"/>
      <c r="I42" s="134">
        <v>5.54</v>
      </c>
      <c r="J42" s="134">
        <v>6.08</v>
      </c>
    </row>
    <row r="43" spans="1:10" ht="28.5" outlineLevel="1" x14ac:dyDescent="0.25">
      <c r="A43" s="131" t="s">
        <v>269</v>
      </c>
      <c r="B43" s="138" t="s">
        <v>15</v>
      </c>
      <c r="C43" s="138">
        <v>25</v>
      </c>
      <c r="D43" s="131" t="s">
        <v>9</v>
      </c>
      <c r="E43" s="131">
        <v>24</v>
      </c>
      <c r="F43" s="131">
        <v>3.1</v>
      </c>
      <c r="H43" s="133"/>
      <c r="I43" s="134">
        <v>5.54</v>
      </c>
      <c r="J43" s="134">
        <v>6.08</v>
      </c>
    </row>
    <row r="44" spans="1:10" ht="29.25" outlineLevel="1" thickBot="1" x14ac:dyDescent="0.3">
      <c r="A44" s="192" t="s">
        <v>270</v>
      </c>
      <c r="B44" s="193" t="s">
        <v>16</v>
      </c>
      <c r="C44" s="193">
        <v>25</v>
      </c>
      <c r="D44" s="192" t="s">
        <v>9</v>
      </c>
      <c r="E44" s="192">
        <v>24</v>
      </c>
      <c r="F44" s="192">
        <v>4.3</v>
      </c>
      <c r="G44" s="194"/>
      <c r="H44" s="195"/>
      <c r="I44" s="196">
        <v>5.54</v>
      </c>
      <c r="J44" s="196">
        <v>6.08</v>
      </c>
    </row>
    <row r="45" spans="1:10" ht="28.5" outlineLevel="1" x14ac:dyDescent="0.25">
      <c r="A45" s="131" t="s">
        <v>223</v>
      </c>
      <c r="B45" s="138" t="s">
        <v>19</v>
      </c>
      <c r="C45" s="138">
        <v>25</v>
      </c>
      <c r="D45" s="131" t="s">
        <v>8</v>
      </c>
      <c r="E45" s="131">
        <v>36</v>
      </c>
      <c r="F45" s="131">
        <v>1.8</v>
      </c>
      <c r="H45" s="133"/>
      <c r="I45" s="134">
        <v>2.09</v>
      </c>
      <c r="J45" s="134">
        <v>2.46</v>
      </c>
    </row>
    <row r="46" spans="1:10" ht="28.5" outlineLevel="1" x14ac:dyDescent="0.25">
      <c r="A46" s="131" t="s">
        <v>146</v>
      </c>
      <c r="B46" s="131" t="s">
        <v>18</v>
      </c>
      <c r="C46" s="131">
        <v>25</v>
      </c>
      <c r="D46" s="131" t="s">
        <v>8</v>
      </c>
      <c r="E46" s="131">
        <v>36</v>
      </c>
      <c r="F46" s="131">
        <v>2.4</v>
      </c>
      <c r="H46" s="133"/>
      <c r="I46" s="134">
        <v>2.09</v>
      </c>
      <c r="J46" s="134">
        <v>2.46</v>
      </c>
    </row>
    <row r="47" spans="1:10" ht="28.5" outlineLevel="1" x14ac:dyDescent="0.25">
      <c r="A47" s="131" t="s">
        <v>147</v>
      </c>
      <c r="B47" s="131" t="s">
        <v>20</v>
      </c>
      <c r="C47" s="131">
        <v>25</v>
      </c>
      <c r="D47" s="131" t="s">
        <v>8</v>
      </c>
      <c r="E47" s="131">
        <v>36</v>
      </c>
      <c r="F47" s="131">
        <v>2.7</v>
      </c>
      <c r="H47" s="133"/>
      <c r="I47" s="134">
        <v>2.09</v>
      </c>
      <c r="J47" s="134">
        <v>2.46</v>
      </c>
    </row>
    <row r="48" spans="1:10" ht="28.5" outlineLevel="1" x14ac:dyDescent="0.25">
      <c r="A48" s="131" t="s">
        <v>148</v>
      </c>
      <c r="B48" s="131" t="s">
        <v>19</v>
      </c>
      <c r="C48" s="131">
        <v>25</v>
      </c>
      <c r="D48" s="131" t="s">
        <v>8</v>
      </c>
      <c r="E48" s="131">
        <v>36</v>
      </c>
      <c r="F48" s="131">
        <v>1.8</v>
      </c>
      <c r="H48" s="133"/>
      <c r="I48" s="134">
        <v>2.68</v>
      </c>
      <c r="J48" s="134">
        <v>3.13</v>
      </c>
    </row>
    <row r="49" spans="1:11" ht="28.5" outlineLevel="1" x14ac:dyDescent="0.25">
      <c r="A49" s="131" t="s">
        <v>149</v>
      </c>
      <c r="B49" s="131" t="s">
        <v>18</v>
      </c>
      <c r="C49" s="131">
        <v>25</v>
      </c>
      <c r="D49" s="131" t="s">
        <v>8</v>
      </c>
      <c r="E49" s="131">
        <v>36</v>
      </c>
      <c r="F49" s="131">
        <v>2.4</v>
      </c>
      <c r="H49" s="133"/>
      <c r="I49" s="134">
        <v>2.68</v>
      </c>
      <c r="J49" s="134">
        <v>3.13</v>
      </c>
    </row>
    <row r="50" spans="1:11" ht="29.25" outlineLevel="1" thickBot="1" x14ac:dyDescent="0.3">
      <c r="A50" s="192" t="s">
        <v>150</v>
      </c>
      <c r="B50" s="192" t="s">
        <v>23</v>
      </c>
      <c r="C50" s="192">
        <v>25</v>
      </c>
      <c r="D50" s="192" t="s">
        <v>8</v>
      </c>
      <c r="E50" s="192">
        <v>36</v>
      </c>
      <c r="F50" s="192">
        <v>2.8</v>
      </c>
      <c r="G50" s="194"/>
      <c r="H50" s="195"/>
      <c r="I50" s="196">
        <v>2.68</v>
      </c>
      <c r="J50" s="196">
        <v>3.13</v>
      </c>
    </row>
    <row r="51" spans="1:11" ht="28.5" outlineLevel="1" x14ac:dyDescent="0.25">
      <c r="A51" s="191" t="s">
        <v>224</v>
      </c>
      <c r="B51" s="191" t="s">
        <v>21</v>
      </c>
      <c r="C51" s="191">
        <v>25</v>
      </c>
      <c r="D51" s="191" t="s">
        <v>8</v>
      </c>
      <c r="E51" s="205">
        <v>36</v>
      </c>
      <c r="F51" s="191">
        <v>1.8</v>
      </c>
      <c r="H51" s="133"/>
      <c r="I51" s="139">
        <v>2.09</v>
      </c>
      <c r="J51" s="139">
        <v>2.46</v>
      </c>
    </row>
    <row r="52" spans="1:11" ht="28.5" outlineLevel="1" x14ac:dyDescent="0.25">
      <c r="A52" s="131" t="s">
        <v>151</v>
      </c>
      <c r="B52" s="131" t="s">
        <v>22</v>
      </c>
      <c r="C52" s="131">
        <v>25</v>
      </c>
      <c r="D52" s="131" t="s">
        <v>8</v>
      </c>
      <c r="E52" s="132">
        <v>36</v>
      </c>
      <c r="F52" s="131">
        <v>2.4</v>
      </c>
      <c r="H52" s="133"/>
      <c r="I52" s="134">
        <v>2.09</v>
      </c>
      <c r="J52" s="134">
        <v>2.46</v>
      </c>
    </row>
    <row r="53" spans="1:11" ht="28.5" outlineLevel="1" x14ac:dyDescent="0.25">
      <c r="A53" s="131" t="s">
        <v>152</v>
      </c>
      <c r="B53" s="131" t="s">
        <v>23</v>
      </c>
      <c r="C53" s="131">
        <v>25</v>
      </c>
      <c r="D53" s="131" t="s">
        <v>8</v>
      </c>
      <c r="E53" s="132">
        <v>36</v>
      </c>
      <c r="F53" s="131">
        <v>2.8</v>
      </c>
      <c r="H53" s="133"/>
      <c r="I53" s="134">
        <v>2.09</v>
      </c>
      <c r="J53" s="134">
        <v>2.46</v>
      </c>
    </row>
    <row r="54" spans="1:11" ht="28.5" outlineLevel="1" x14ac:dyDescent="0.25">
      <c r="A54" s="131" t="s">
        <v>153</v>
      </c>
      <c r="B54" s="131" t="s">
        <v>21</v>
      </c>
      <c r="C54" s="131">
        <v>25</v>
      </c>
      <c r="D54" s="131" t="s">
        <v>8</v>
      </c>
      <c r="E54" s="132">
        <v>36</v>
      </c>
      <c r="F54" s="131">
        <v>1.8</v>
      </c>
      <c r="H54" s="133"/>
      <c r="I54" s="134">
        <v>2.68</v>
      </c>
      <c r="J54" s="134">
        <v>3.13</v>
      </c>
    </row>
    <row r="55" spans="1:11" ht="28.5" outlineLevel="1" x14ac:dyDescent="0.25">
      <c r="A55" s="131" t="s">
        <v>154</v>
      </c>
      <c r="B55" s="131" t="s">
        <v>22</v>
      </c>
      <c r="C55" s="131">
        <v>25</v>
      </c>
      <c r="D55" s="131" t="s">
        <v>8</v>
      </c>
      <c r="E55" s="132">
        <v>36</v>
      </c>
      <c r="F55" s="131">
        <v>2.4</v>
      </c>
      <c r="H55" s="133"/>
      <c r="I55" s="134">
        <v>2.68</v>
      </c>
      <c r="J55" s="134">
        <v>3.13</v>
      </c>
    </row>
    <row r="56" spans="1:11" ht="29.25" outlineLevel="1" thickBot="1" x14ac:dyDescent="0.3">
      <c r="A56" s="192" t="s">
        <v>155</v>
      </c>
      <c r="B56" s="192" t="s">
        <v>23</v>
      </c>
      <c r="C56" s="192">
        <v>25</v>
      </c>
      <c r="D56" s="192" t="s">
        <v>8</v>
      </c>
      <c r="E56" s="192">
        <v>36</v>
      </c>
      <c r="F56" s="192">
        <v>2.8</v>
      </c>
      <c r="G56" s="194"/>
      <c r="H56" s="195"/>
      <c r="I56" s="196">
        <v>2.68</v>
      </c>
      <c r="J56" s="196">
        <v>3.13</v>
      </c>
    </row>
    <row r="57" spans="1:11" outlineLevel="1" x14ac:dyDescent="0.25">
      <c r="A57" s="191" t="s">
        <v>96</v>
      </c>
      <c r="B57" s="191"/>
      <c r="C57" s="191">
        <v>0</v>
      </c>
      <c r="D57" s="191"/>
      <c r="E57" s="191">
        <v>0</v>
      </c>
      <c r="F57" s="191">
        <v>0</v>
      </c>
      <c r="H57" s="133"/>
      <c r="I57" s="139">
        <v>0</v>
      </c>
      <c r="J57" s="139">
        <v>0</v>
      </c>
    </row>
    <row r="58" spans="1:11" x14ac:dyDescent="0.25">
      <c r="H58" s="133"/>
      <c r="I58" s="135"/>
      <c r="J58" s="135"/>
    </row>
    <row r="59" spans="1:11" ht="20.25" x14ac:dyDescent="0.25">
      <c r="A59" s="144" t="s">
        <v>165</v>
      </c>
    </row>
    <row r="60" spans="1:11" s="6" customFormat="1" ht="15" x14ac:dyDescent="0.25">
      <c r="A60" s="4" t="s">
        <v>30</v>
      </c>
      <c r="B60" s="4" t="s">
        <v>12</v>
      </c>
      <c r="C60" s="31" t="s">
        <v>5</v>
      </c>
      <c r="D60" s="4" t="s">
        <v>4</v>
      </c>
      <c r="E60" s="4" t="s">
        <v>6</v>
      </c>
      <c r="F60" s="4"/>
      <c r="G60" s="7"/>
      <c r="H60" s="5"/>
      <c r="I60" s="4" t="s">
        <v>109</v>
      </c>
      <c r="J60" s="4" t="s">
        <v>110</v>
      </c>
      <c r="K60" s="32"/>
    </row>
    <row r="61" spans="1:11" ht="28.5" outlineLevel="1" x14ac:dyDescent="0.25">
      <c r="A61" s="131" t="s">
        <v>156</v>
      </c>
      <c r="B61" s="149" t="s">
        <v>102</v>
      </c>
      <c r="C61" s="131">
        <v>25</v>
      </c>
      <c r="D61" s="131" t="s">
        <v>8</v>
      </c>
      <c r="E61" s="131">
        <v>36</v>
      </c>
      <c r="F61" s="131">
        <v>3</v>
      </c>
      <c r="H61" s="133"/>
      <c r="I61" s="134">
        <v>2.84</v>
      </c>
      <c r="J61" s="139">
        <v>3.32</v>
      </c>
    </row>
    <row r="62" spans="1:11" ht="28.5" outlineLevel="1" x14ac:dyDescent="0.25">
      <c r="A62" s="131" t="s">
        <v>225</v>
      </c>
      <c r="B62" s="149" t="s">
        <v>102</v>
      </c>
      <c r="C62" s="131">
        <v>25</v>
      </c>
      <c r="D62" s="131" t="s">
        <v>8</v>
      </c>
      <c r="E62" s="131">
        <v>36</v>
      </c>
      <c r="F62" s="131">
        <v>3</v>
      </c>
      <c r="H62" s="133"/>
      <c r="I62" s="134">
        <v>3</v>
      </c>
      <c r="J62" s="134">
        <v>3.59</v>
      </c>
    </row>
    <row r="63" spans="1:11" outlineLevel="1" x14ac:dyDescent="0.25">
      <c r="A63" s="131" t="s">
        <v>96</v>
      </c>
      <c r="B63" s="131"/>
      <c r="C63" s="131">
        <v>0</v>
      </c>
      <c r="D63" s="131"/>
      <c r="E63" s="131">
        <v>0</v>
      </c>
      <c r="F63" s="131">
        <v>0</v>
      </c>
      <c r="H63" s="133"/>
      <c r="I63" s="134">
        <v>0</v>
      </c>
      <c r="J63" s="134">
        <v>0</v>
      </c>
    </row>
    <row r="64" spans="1:11" x14ac:dyDescent="0.25">
      <c r="H64" s="133"/>
      <c r="I64" s="135"/>
      <c r="J64" s="135"/>
    </row>
    <row r="65" spans="1:11" ht="23.25" customHeight="1" x14ac:dyDescent="0.25">
      <c r="A65" s="144" t="s">
        <v>169</v>
      </c>
      <c r="B65" s="140"/>
    </row>
    <row r="66" spans="1:11" s="6" customFormat="1" ht="15" x14ac:dyDescent="0.25">
      <c r="A66" s="4" t="s">
        <v>30</v>
      </c>
      <c r="B66" s="4" t="s">
        <v>12</v>
      </c>
      <c r="C66" s="31" t="s">
        <v>5</v>
      </c>
      <c r="D66" s="4" t="s">
        <v>4</v>
      </c>
      <c r="E66" s="4" t="s">
        <v>6</v>
      </c>
      <c r="F66" s="4"/>
      <c r="G66" s="7"/>
      <c r="H66" s="5"/>
      <c r="I66" s="4"/>
      <c r="J66" s="4" t="s">
        <v>110</v>
      </c>
      <c r="K66" s="32"/>
    </row>
    <row r="67" spans="1:11" ht="28.5" outlineLevel="1" x14ac:dyDescent="0.25">
      <c r="A67" s="131" t="s">
        <v>171</v>
      </c>
      <c r="B67" s="131" t="s">
        <v>127</v>
      </c>
      <c r="C67" s="138">
        <v>25</v>
      </c>
      <c r="D67" s="131" t="s">
        <v>8</v>
      </c>
      <c r="E67" s="131">
        <v>36</v>
      </c>
      <c r="F67" s="131">
        <v>7</v>
      </c>
      <c r="H67" s="133"/>
      <c r="I67" s="137"/>
      <c r="J67" s="134">
        <v>3.84</v>
      </c>
    </row>
    <row r="68" spans="1:11" outlineLevel="1" x14ac:dyDescent="0.25">
      <c r="A68" s="131" t="s">
        <v>96</v>
      </c>
      <c r="B68" s="131"/>
      <c r="C68" s="131">
        <v>0</v>
      </c>
      <c r="D68" s="131"/>
      <c r="E68" s="131">
        <v>0</v>
      </c>
      <c r="F68" s="131">
        <v>0</v>
      </c>
      <c r="H68" s="133"/>
      <c r="I68" s="134">
        <v>0</v>
      </c>
      <c r="J68" s="134">
        <v>0</v>
      </c>
    </row>
    <row r="69" spans="1:11" x14ac:dyDescent="0.25">
      <c r="H69" s="133"/>
      <c r="I69" s="135"/>
      <c r="J69" s="135"/>
    </row>
    <row r="70" spans="1:11" ht="20.25" x14ac:dyDescent="0.25">
      <c r="A70" s="144" t="s">
        <v>167</v>
      </c>
      <c r="B70" s="128"/>
    </row>
    <row r="71" spans="1:11" s="6" customFormat="1" ht="15" x14ac:dyDescent="0.25">
      <c r="A71" s="4" t="s">
        <v>30</v>
      </c>
      <c r="B71" s="4" t="s">
        <v>12</v>
      </c>
      <c r="C71" s="31" t="s">
        <v>5</v>
      </c>
      <c r="D71" s="4" t="s">
        <v>4</v>
      </c>
      <c r="E71" s="4" t="s">
        <v>6</v>
      </c>
      <c r="F71" s="4"/>
      <c r="G71" s="7"/>
      <c r="H71" s="5"/>
      <c r="I71" s="4"/>
      <c r="J71" s="4" t="s">
        <v>110</v>
      </c>
      <c r="K71" s="32"/>
    </row>
    <row r="72" spans="1:11" ht="28.5" hidden="1" outlineLevel="1" x14ac:dyDescent="0.25">
      <c r="A72" s="131" t="s">
        <v>170</v>
      </c>
      <c r="B72" s="131" t="s">
        <v>168</v>
      </c>
      <c r="C72" s="138">
        <v>25</v>
      </c>
      <c r="D72" s="131" t="s">
        <v>8</v>
      </c>
      <c r="E72" s="131">
        <v>36</v>
      </c>
      <c r="F72" s="131">
        <v>1.5</v>
      </c>
      <c r="H72" s="133"/>
      <c r="I72" s="137"/>
      <c r="J72" s="134">
        <v>3.13</v>
      </c>
    </row>
    <row r="73" spans="1:11" hidden="1" outlineLevel="1" x14ac:dyDescent="0.25">
      <c r="A73" s="131" t="s">
        <v>96</v>
      </c>
      <c r="B73" s="131"/>
      <c r="C73" s="131">
        <v>0</v>
      </c>
      <c r="D73" s="131"/>
      <c r="E73" s="131">
        <v>0</v>
      </c>
      <c r="F73" s="131">
        <v>0</v>
      </c>
      <c r="H73" s="133"/>
      <c r="I73" s="134">
        <v>0</v>
      </c>
      <c r="J73" s="134">
        <v>0</v>
      </c>
    </row>
    <row r="74" spans="1:11" collapsed="1" x14ac:dyDescent="0.25">
      <c r="H74" s="133"/>
      <c r="I74" s="135"/>
      <c r="J74" s="135"/>
    </row>
    <row r="75" spans="1:11" ht="20.25" x14ac:dyDescent="0.25">
      <c r="A75" s="144" t="s">
        <v>0</v>
      </c>
      <c r="B75" s="129"/>
      <c r="C75" s="129"/>
      <c r="D75" s="129"/>
      <c r="E75" s="129"/>
      <c r="H75" s="129"/>
      <c r="I75" s="129"/>
      <c r="J75" s="129"/>
    </row>
    <row r="76" spans="1:11" s="6" customFormat="1" ht="15" customHeight="1" x14ac:dyDescent="0.25">
      <c r="A76" s="4" t="s">
        <v>30</v>
      </c>
      <c r="B76" s="4" t="s">
        <v>12</v>
      </c>
      <c r="C76" s="31" t="s">
        <v>5</v>
      </c>
      <c r="D76" s="4" t="s">
        <v>4</v>
      </c>
      <c r="E76" s="4" t="s">
        <v>6</v>
      </c>
      <c r="F76" s="4"/>
      <c r="G76" s="7"/>
      <c r="H76" s="5"/>
      <c r="I76" s="4" t="s">
        <v>215</v>
      </c>
      <c r="J76" s="4" t="s">
        <v>217</v>
      </c>
      <c r="K76"/>
    </row>
    <row r="77" spans="1:11" ht="28.5" outlineLevel="1" x14ac:dyDescent="0.25">
      <c r="A77" s="131" t="s">
        <v>161</v>
      </c>
      <c r="B77" s="131" t="s">
        <v>24</v>
      </c>
      <c r="C77" s="131">
        <v>15</v>
      </c>
      <c r="D77" s="131" t="s">
        <v>10</v>
      </c>
      <c r="E77" s="131">
        <v>360</v>
      </c>
      <c r="F77" s="131">
        <v>0.4</v>
      </c>
      <c r="H77" s="133"/>
      <c r="I77" s="151" t="s">
        <v>227</v>
      </c>
      <c r="J77" s="136">
        <v>0</v>
      </c>
      <c r="K77"/>
    </row>
    <row r="78" spans="1:11" ht="28.5" outlineLevel="1" x14ac:dyDescent="0.25">
      <c r="A78" s="131" t="s">
        <v>162</v>
      </c>
      <c r="B78" s="131" t="s">
        <v>24</v>
      </c>
      <c r="C78" s="131">
        <v>15</v>
      </c>
      <c r="D78" s="131" t="s">
        <v>10</v>
      </c>
      <c r="E78" s="131">
        <v>360</v>
      </c>
      <c r="F78" s="131">
        <v>0.4</v>
      </c>
      <c r="H78" s="133"/>
      <c r="I78" s="134"/>
      <c r="J78" s="136"/>
      <c r="K78"/>
    </row>
    <row r="79" spans="1:11" ht="28.5" customHeight="1" outlineLevel="1" x14ac:dyDescent="0.25">
      <c r="A79" s="131" t="s">
        <v>271</v>
      </c>
      <c r="B79" s="131" t="s">
        <v>273</v>
      </c>
      <c r="C79" s="131">
        <v>15</v>
      </c>
      <c r="D79" s="131" t="s">
        <v>10</v>
      </c>
      <c r="E79" s="131">
        <v>360</v>
      </c>
      <c r="F79" s="131">
        <v>0.5</v>
      </c>
      <c r="H79" s="133"/>
      <c r="I79" s="134"/>
      <c r="J79" s="136"/>
      <c r="K79"/>
    </row>
    <row r="80" spans="1:11" ht="28.5" outlineLevel="1" x14ac:dyDescent="0.25">
      <c r="A80" s="131" t="s">
        <v>272</v>
      </c>
      <c r="B80" s="131" t="s">
        <v>273</v>
      </c>
      <c r="C80" s="131">
        <v>15</v>
      </c>
      <c r="D80" s="131" t="s">
        <v>10</v>
      </c>
      <c r="E80" s="131">
        <v>360</v>
      </c>
      <c r="F80" s="131">
        <v>0.5</v>
      </c>
      <c r="H80" s="133"/>
      <c r="I80" s="134"/>
      <c r="J80" s="136"/>
      <c r="K80"/>
    </row>
    <row r="81" spans="1:11" ht="27.95" customHeight="1" outlineLevel="1" x14ac:dyDescent="0.25">
      <c r="A81" s="131" t="s">
        <v>274</v>
      </c>
      <c r="B81" s="131" t="s">
        <v>273</v>
      </c>
      <c r="C81" s="131">
        <v>15</v>
      </c>
      <c r="D81" s="131" t="s">
        <v>10</v>
      </c>
      <c r="E81" s="131">
        <v>360</v>
      </c>
      <c r="F81" s="131">
        <v>0.5</v>
      </c>
      <c r="H81" s="133"/>
      <c r="I81" s="134"/>
      <c r="J81" s="136"/>
      <c r="K81"/>
    </row>
    <row r="82" spans="1:11" ht="15" outlineLevel="1" x14ac:dyDescent="0.25">
      <c r="A82" s="131" t="s">
        <v>96</v>
      </c>
      <c r="B82" s="131"/>
      <c r="C82" s="131">
        <v>0</v>
      </c>
      <c r="D82" s="131"/>
      <c r="E82" s="131">
        <v>0</v>
      </c>
      <c r="F82" s="131">
        <v>0</v>
      </c>
      <c r="H82" s="133"/>
      <c r="I82" s="134">
        <v>0</v>
      </c>
      <c r="J82" s="134">
        <v>0</v>
      </c>
      <c r="K82"/>
    </row>
    <row r="83" spans="1:11" x14ac:dyDescent="0.25">
      <c r="H83" s="133"/>
      <c r="I83" s="135"/>
      <c r="J83" s="135"/>
    </row>
    <row r="84" spans="1:11" ht="20.25" x14ac:dyDescent="0.25">
      <c r="A84" s="229" t="s">
        <v>32</v>
      </c>
      <c r="B84" s="229"/>
    </row>
    <row r="85" spans="1:11" s="6" customFormat="1" ht="15" x14ac:dyDescent="0.25">
      <c r="A85" s="4" t="s">
        <v>30</v>
      </c>
      <c r="B85" s="4" t="s">
        <v>12</v>
      </c>
      <c r="C85" s="31" t="s">
        <v>5</v>
      </c>
      <c r="D85" s="4" t="s">
        <v>4</v>
      </c>
      <c r="E85" s="4" t="s">
        <v>6</v>
      </c>
      <c r="F85" s="4"/>
      <c r="G85" s="7"/>
      <c r="H85" s="5"/>
      <c r="I85" s="4"/>
      <c r="J85" s="4" t="s">
        <v>28</v>
      </c>
      <c r="K85" s="32"/>
    </row>
    <row r="86" spans="1:11" ht="15" outlineLevel="1" x14ac:dyDescent="0.25">
      <c r="A86" s="145" t="s">
        <v>132</v>
      </c>
      <c r="B86" s="129"/>
      <c r="C86" s="129"/>
      <c r="D86" s="129"/>
      <c r="E86" s="129"/>
      <c r="F86" s="129"/>
      <c r="G86" s="129"/>
      <c r="H86" s="129"/>
      <c r="I86" s="129"/>
      <c r="J86" s="141"/>
    </row>
    <row r="87" spans="1:11" outlineLevel="1" x14ac:dyDescent="0.25">
      <c r="A87" s="131" t="s">
        <v>256</v>
      </c>
      <c r="B87" s="131"/>
      <c r="C87" s="131">
        <v>1</v>
      </c>
      <c r="D87" s="131" t="s">
        <v>7</v>
      </c>
      <c r="E87" s="131"/>
      <c r="F87" s="131"/>
      <c r="J87" s="134">
        <v>1.05</v>
      </c>
    </row>
    <row r="88" spans="1:11" outlineLevel="1" x14ac:dyDescent="0.25">
      <c r="A88" s="131" t="s">
        <v>253</v>
      </c>
      <c r="B88" s="131"/>
      <c r="C88" s="131">
        <v>1</v>
      </c>
      <c r="D88" s="131" t="s">
        <v>7</v>
      </c>
      <c r="E88" s="131"/>
      <c r="F88" s="131"/>
      <c r="J88" s="134">
        <v>2.12</v>
      </c>
    </row>
    <row r="89" spans="1:11" outlineLevel="1" x14ac:dyDescent="0.25">
      <c r="A89" s="131" t="s">
        <v>96</v>
      </c>
      <c r="B89" s="131"/>
      <c r="C89" s="131">
        <v>0</v>
      </c>
      <c r="D89" s="131"/>
      <c r="E89" s="131">
        <v>0</v>
      </c>
      <c r="F89" s="131">
        <v>0</v>
      </c>
      <c r="H89" s="133"/>
      <c r="I89" s="134">
        <v>0</v>
      </c>
      <c r="J89" s="134">
        <v>0</v>
      </c>
    </row>
    <row r="90" spans="1:11" s="142" customFormat="1" ht="18" outlineLevel="1" x14ac:dyDescent="0.25"/>
    <row r="91" spans="1:11" ht="15" outlineLevel="1" x14ac:dyDescent="0.25">
      <c r="A91" s="145" t="s">
        <v>95</v>
      </c>
      <c r="B91" s="129"/>
      <c r="C91" s="129"/>
      <c r="D91" s="129"/>
      <c r="E91" s="129"/>
      <c r="F91" s="129"/>
      <c r="G91" s="129"/>
      <c r="H91" s="129"/>
      <c r="I91" s="129"/>
      <c r="J91" s="141"/>
    </row>
    <row r="92" spans="1:11" outlineLevel="1" x14ac:dyDescent="0.25">
      <c r="A92" s="131" t="s">
        <v>254</v>
      </c>
      <c r="B92" s="131"/>
      <c r="C92" s="131">
        <v>1</v>
      </c>
      <c r="D92" s="131" t="s">
        <v>11</v>
      </c>
      <c r="E92" s="131"/>
      <c r="F92" s="131"/>
      <c r="J92" s="134">
        <v>2.4900000000000002</v>
      </c>
    </row>
    <row r="93" spans="1:11" outlineLevel="1" x14ac:dyDescent="0.25">
      <c r="A93" s="131" t="s">
        <v>255</v>
      </c>
      <c r="B93" s="131"/>
      <c r="C93" s="131">
        <v>1</v>
      </c>
      <c r="D93" s="131" t="s">
        <v>11</v>
      </c>
      <c r="E93" s="131"/>
      <c r="F93" s="131"/>
      <c r="J93" s="134">
        <v>5.22</v>
      </c>
    </row>
    <row r="94" spans="1:11" outlineLevel="1" x14ac:dyDescent="0.25">
      <c r="A94" s="131" t="s">
        <v>96</v>
      </c>
      <c r="B94" s="131"/>
      <c r="C94" s="131">
        <v>0</v>
      </c>
      <c r="D94" s="131"/>
      <c r="E94" s="131">
        <v>0</v>
      </c>
      <c r="F94" s="131">
        <v>0</v>
      </c>
      <c r="H94" s="133"/>
      <c r="I94" s="134">
        <v>0</v>
      </c>
      <c r="J94" s="134">
        <v>0</v>
      </c>
    </row>
    <row r="95" spans="1:11" outlineLevel="1" x14ac:dyDescent="0.25"/>
    <row r="96" spans="1:11" ht="15" outlineLevel="1" x14ac:dyDescent="0.25">
      <c r="A96" s="127" t="s">
        <v>97</v>
      </c>
      <c r="B96" s="127" t="s">
        <v>98</v>
      </c>
      <c r="F96" s="143"/>
    </row>
    <row r="97" spans="2:6" ht="15" outlineLevel="1" x14ac:dyDescent="0.25">
      <c r="B97" s="127" t="s">
        <v>99</v>
      </c>
      <c r="F97" s="143"/>
    </row>
    <row r="98" spans="2:6" ht="15" outlineLevel="1" x14ac:dyDescent="0.25">
      <c r="B98" s="127" t="s">
        <v>100</v>
      </c>
      <c r="F98" s="143"/>
    </row>
    <row r="99" spans="2:6" ht="15" x14ac:dyDescent="0.25">
      <c r="F99" s="143"/>
    </row>
  </sheetData>
  <mergeCells count="1">
    <mergeCell ref="A84:B84"/>
  </mergeCells>
  <hyperlinks>
    <hyperlink ref="I4" location="Staffelpreise!A5" tooltip="Preise Armierungsmörtel" display="Staffelpreis"/>
    <hyperlink ref="I9" location="Staffelpreise!A14" display="Staffelpreis"/>
    <hyperlink ref="I21" location="Staffelpreise!A28" display="Staffelpreis"/>
    <hyperlink ref="I77" location="Staffelpreise!A36" display="Staffelpreis"/>
    <hyperlink ref="I15" location="Staffelpreise!A14" display="Staffelpreis"/>
  </hyperlinks>
  <pageMargins left="0.70866141732283472" right="0.70866141732283472" top="0.47244094488188981" bottom="0.35433070866141736" header="0.31496062992125984" footer="0.31496062992125984"/>
  <pageSetup paperSize="8" scale="79" fitToHeight="0" orientation="portrait" r:id="rId1"/>
  <headerFooter>
    <oddFooter>&amp;L&amp;P von &amp;N&amp;R&amp;D
erstellt Christof Janz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workbookViewId="0">
      <pane ySplit="1" topLeftCell="A6" activePane="bottomLeft" state="frozen"/>
      <selection pane="bottomLeft" activeCell="J25" sqref="J25"/>
    </sheetView>
  </sheetViews>
  <sheetFormatPr baseColWidth="10" defaultColWidth="11.42578125" defaultRowHeight="15" x14ac:dyDescent="0.25"/>
  <cols>
    <col min="1" max="1" width="41.140625" style="154" customWidth="1"/>
    <col min="2" max="2" width="15.5703125" style="154" customWidth="1"/>
    <col min="3" max="3" width="15" style="162" customWidth="1"/>
    <col min="4" max="4" width="13.42578125" style="154" bestFit="1" customWidth="1"/>
    <col min="5" max="5" width="17.140625" style="154" bestFit="1" customWidth="1"/>
    <col min="6" max="16384" width="11.42578125" style="154"/>
  </cols>
  <sheetData>
    <row r="1" spans="1:11" ht="19.5" thickBot="1" x14ac:dyDescent="0.35">
      <c r="A1" s="231" t="s">
        <v>235</v>
      </c>
      <c r="B1" s="232"/>
      <c r="C1" s="232"/>
      <c r="D1" s="232"/>
      <c r="E1" s="233"/>
      <c r="F1"/>
      <c r="G1"/>
    </row>
    <row r="2" spans="1:11" customFormat="1" x14ac:dyDescent="0.25"/>
    <row r="3" spans="1:11" ht="20.25" customHeight="1" x14ac:dyDescent="0.25">
      <c r="A3" s="230" t="s">
        <v>135</v>
      </c>
      <c r="B3" s="230"/>
      <c r="C3" s="230"/>
      <c r="D3" s="230"/>
      <c r="E3" s="230"/>
    </row>
    <row r="4" spans="1:11" ht="35.25" customHeight="1" x14ac:dyDescent="0.25">
      <c r="A4" s="157" t="s">
        <v>30</v>
      </c>
      <c r="B4" s="157" t="s">
        <v>228</v>
      </c>
      <c r="C4" s="163" t="s">
        <v>234</v>
      </c>
      <c r="D4" s="157" t="s">
        <v>230</v>
      </c>
      <c r="E4" s="157" t="s">
        <v>231</v>
      </c>
    </row>
    <row r="5" spans="1:11" ht="30" x14ac:dyDescent="0.25">
      <c r="A5" s="160" t="s">
        <v>53</v>
      </c>
      <c r="B5" s="155">
        <v>1.66</v>
      </c>
      <c r="C5" s="161">
        <v>0</v>
      </c>
      <c r="D5" s="156">
        <f>'STEICOsecure Timber'!G24</f>
        <v>1500</v>
      </c>
      <c r="E5" s="156">
        <f>IF(D5&lt;C6,B5,IF(AND(D5&gt;=C6,D5&lt;C7),B6,IF(AND(D5&gt;=C7,D5&lt;C8),B7,IF(AND(D5&gt;=C8,D5&lt;C9),B8,IF(AND(D5&gt;=C9,D5&lt;C10),B9,B10)))))</f>
        <v>1.53</v>
      </c>
    </row>
    <row r="6" spans="1:11" x14ac:dyDescent="0.25">
      <c r="B6" s="155">
        <v>1.53</v>
      </c>
      <c r="C6" s="161">
        <v>901</v>
      </c>
    </row>
    <row r="7" spans="1:11" x14ac:dyDescent="0.25">
      <c r="B7" s="155">
        <v>1.35</v>
      </c>
      <c r="C7" s="161">
        <v>2701</v>
      </c>
    </row>
    <row r="8" spans="1:11" x14ac:dyDescent="0.25">
      <c r="B8" s="155">
        <v>1.29</v>
      </c>
      <c r="C8" s="161">
        <v>4501</v>
      </c>
    </row>
    <row r="9" spans="1:11" x14ac:dyDescent="0.25">
      <c r="B9" s="155">
        <v>1.22</v>
      </c>
      <c r="C9" s="161">
        <v>9001</v>
      </c>
    </row>
    <row r="10" spans="1:11" x14ac:dyDescent="0.25">
      <c r="B10" s="155">
        <v>1.1599999999999999</v>
      </c>
      <c r="C10" s="161">
        <v>23400</v>
      </c>
    </row>
    <row r="12" spans="1:11" ht="21" x14ac:dyDescent="0.25">
      <c r="A12" s="230" t="s">
        <v>52</v>
      </c>
      <c r="B12" s="230"/>
      <c r="C12" s="230"/>
      <c r="D12" s="230"/>
      <c r="E12" s="230"/>
      <c r="F12" s="158"/>
      <c r="G12" s="158"/>
      <c r="H12" s="158"/>
      <c r="I12" s="158"/>
      <c r="J12" s="159"/>
      <c r="K12" s="158"/>
    </row>
    <row r="13" spans="1:11" ht="30" x14ac:dyDescent="0.25">
      <c r="A13" s="157" t="s">
        <v>30</v>
      </c>
      <c r="B13" s="157" t="s">
        <v>215</v>
      </c>
      <c r="C13" s="163" t="s">
        <v>236</v>
      </c>
      <c r="D13" s="157" t="s">
        <v>232</v>
      </c>
      <c r="E13" s="157" t="s">
        <v>233</v>
      </c>
    </row>
    <row r="14" spans="1:11" ht="28.5" customHeight="1" x14ac:dyDescent="0.25">
      <c r="A14" s="160" t="s">
        <v>242</v>
      </c>
      <c r="B14" s="155">
        <v>2.9</v>
      </c>
      <c r="C14" s="161">
        <v>0</v>
      </c>
      <c r="D14" s="156">
        <f>'STEICOsecure Timber'!$G$27</f>
        <v>200</v>
      </c>
      <c r="E14" s="156">
        <f>IF(D14&lt;C15,B14,B15)</f>
        <v>2.9</v>
      </c>
    </row>
    <row r="15" spans="1:11" x14ac:dyDescent="0.25">
      <c r="B15" s="155">
        <v>2.4700000000000002</v>
      </c>
      <c r="C15" s="161">
        <v>401</v>
      </c>
    </row>
    <row r="16" spans="1:11" customFormat="1" x14ac:dyDescent="0.25"/>
    <row r="17" spans="1:5" ht="28.5" customHeight="1" x14ac:dyDescent="0.25">
      <c r="A17" s="160" t="s">
        <v>244</v>
      </c>
      <c r="B17" s="155">
        <v>2.9</v>
      </c>
      <c r="C17" s="161">
        <v>0</v>
      </c>
      <c r="D17" s="156">
        <f>'STEICOsecure Timber'!$G$56</f>
        <v>50</v>
      </c>
      <c r="E17" s="156">
        <f>IF(D17&lt;C18,B17,B18)</f>
        <v>2.9</v>
      </c>
    </row>
    <row r="18" spans="1:5" x14ac:dyDescent="0.25">
      <c r="B18" s="155">
        <v>2.4700000000000002</v>
      </c>
      <c r="C18" s="161">
        <v>401</v>
      </c>
    </row>
    <row r="20" spans="1:5" ht="28.5" customHeight="1" x14ac:dyDescent="0.25">
      <c r="A20" s="160" t="s">
        <v>243</v>
      </c>
      <c r="B20" s="155">
        <v>3.4</v>
      </c>
      <c r="C20" s="161">
        <v>0</v>
      </c>
      <c r="D20" s="156">
        <f>'STEICOsecure Timber'!$G$27</f>
        <v>200</v>
      </c>
      <c r="E20" s="156">
        <f>IF(D20&lt;C21,B20,B21)</f>
        <v>3.4</v>
      </c>
    </row>
    <row r="21" spans="1:5" x14ac:dyDescent="0.25">
      <c r="B21" s="155">
        <v>2.9</v>
      </c>
      <c r="C21" s="161">
        <v>401</v>
      </c>
    </row>
    <row r="22" spans="1:5" customFormat="1" x14ac:dyDescent="0.25"/>
    <row r="23" spans="1:5" ht="28.5" customHeight="1" x14ac:dyDescent="0.25">
      <c r="A23" s="160" t="s">
        <v>245</v>
      </c>
      <c r="B23" s="155">
        <v>3.4</v>
      </c>
      <c r="C23" s="161">
        <v>0</v>
      </c>
      <c r="D23" s="156">
        <f>'STEICOsecure Timber'!$G$56</f>
        <v>50</v>
      </c>
      <c r="E23" s="156">
        <f>IF(D23&lt;C24,B23,B24)</f>
        <v>3.4</v>
      </c>
    </row>
    <row r="24" spans="1:5" x14ac:dyDescent="0.25">
      <c r="B24" s="155">
        <v>2.9</v>
      </c>
      <c r="C24" s="161">
        <v>401</v>
      </c>
    </row>
    <row r="26" spans="1:5" s="158" customFormat="1" ht="21" x14ac:dyDescent="0.25">
      <c r="A26" s="230" t="s">
        <v>136</v>
      </c>
      <c r="B26" s="230"/>
      <c r="C26" s="230"/>
      <c r="D26" s="230"/>
      <c r="E26" s="230"/>
    </row>
    <row r="27" spans="1:5" ht="30" x14ac:dyDescent="0.25">
      <c r="A27" s="157" t="s">
        <v>30</v>
      </c>
      <c r="B27" s="157" t="s">
        <v>215</v>
      </c>
      <c r="C27" s="163" t="s">
        <v>234</v>
      </c>
      <c r="D27" s="157" t="s">
        <v>230</v>
      </c>
      <c r="E27" s="157" t="s">
        <v>233</v>
      </c>
    </row>
    <row r="28" spans="1:5" ht="30" x14ac:dyDescent="0.25">
      <c r="A28" s="160" t="s">
        <v>140</v>
      </c>
      <c r="B28" s="155">
        <v>6.88</v>
      </c>
      <c r="C28" s="161">
        <v>0</v>
      </c>
      <c r="D28" s="156">
        <f>'STEICOsecure Timber'!$G$30</f>
        <v>100</v>
      </c>
      <c r="E28" s="156">
        <f>IF(D28&lt;C29,B28,B29)</f>
        <v>6.88</v>
      </c>
    </row>
    <row r="29" spans="1:5" x14ac:dyDescent="0.25">
      <c r="A29"/>
      <c r="B29" s="155">
        <v>5.81</v>
      </c>
      <c r="C29" s="161">
        <v>600</v>
      </c>
    </row>
    <row r="31" spans="1:5" ht="30" x14ac:dyDescent="0.25">
      <c r="A31" s="160" t="s">
        <v>219</v>
      </c>
      <c r="B31" s="155">
        <v>6.03</v>
      </c>
      <c r="C31" s="161" t="s">
        <v>2</v>
      </c>
      <c r="D31" s="156">
        <f>'STEICOsecure Timber'!$G$30</f>
        <v>100</v>
      </c>
      <c r="E31" s="156">
        <f>IF(D31&lt;C32,B31,B32)</f>
        <v>6.03</v>
      </c>
    </row>
    <row r="32" spans="1:5" x14ac:dyDescent="0.25">
      <c r="A32"/>
      <c r="B32" s="155">
        <v>5.07</v>
      </c>
      <c r="C32" s="161">
        <v>600</v>
      </c>
    </row>
    <row r="34" spans="1:11" ht="21" x14ac:dyDescent="0.25">
      <c r="A34" s="230" t="s">
        <v>0</v>
      </c>
      <c r="B34" s="230"/>
      <c r="C34" s="230"/>
      <c r="D34" s="230"/>
      <c r="E34" s="230"/>
      <c r="F34" s="127"/>
      <c r="G34" s="127"/>
      <c r="H34" s="129"/>
      <c r="I34" s="129"/>
      <c r="J34" s="129"/>
      <c r="K34" s="127"/>
    </row>
    <row r="35" spans="1:11" ht="30" x14ac:dyDescent="0.25">
      <c r="A35" s="157" t="s">
        <v>30</v>
      </c>
      <c r="B35" s="157" t="s">
        <v>215</v>
      </c>
      <c r="C35" s="163" t="s">
        <v>237</v>
      </c>
      <c r="D35" s="157" t="s">
        <v>238</v>
      </c>
      <c r="E35" s="157" t="s">
        <v>239</v>
      </c>
    </row>
    <row r="36" spans="1:11" ht="30" x14ac:dyDescent="0.25">
      <c r="A36" s="160" t="s">
        <v>161</v>
      </c>
      <c r="B36" s="155">
        <v>15.84</v>
      </c>
      <c r="C36" s="161">
        <v>0</v>
      </c>
      <c r="D36" s="156">
        <f>'STEICOsecure Timber'!$G$48</f>
        <v>90</v>
      </c>
      <c r="E36" s="156">
        <f>IF(D36&lt;C37,B36,IF(AND(D36&gt;=C37,D36&lt;C38),B37,B38))</f>
        <v>15.84</v>
      </c>
    </row>
    <row r="37" spans="1:11" x14ac:dyDescent="0.25">
      <c r="A37"/>
      <c r="B37" s="155">
        <v>14.55</v>
      </c>
      <c r="C37" s="161">
        <v>150</v>
      </c>
      <c r="D37"/>
    </row>
    <row r="38" spans="1:11" x14ac:dyDescent="0.25">
      <c r="A38"/>
      <c r="B38" s="155">
        <v>13.26</v>
      </c>
      <c r="C38" s="161">
        <v>360</v>
      </c>
      <c r="D38"/>
    </row>
    <row r="40" spans="1:11" ht="30" x14ac:dyDescent="0.25">
      <c r="A40" s="160" t="s">
        <v>162</v>
      </c>
      <c r="B40" s="155">
        <v>17.510000000000002</v>
      </c>
      <c r="C40" s="161">
        <v>0</v>
      </c>
      <c r="D40" s="156">
        <f>'STEICOsecure Timber'!$G$48</f>
        <v>90</v>
      </c>
      <c r="E40" s="156">
        <f>IF(D40&lt;C41,B40,IF(AND(D40&gt;=C41,D40&lt;C42),B41,B42))</f>
        <v>17.510000000000002</v>
      </c>
    </row>
    <row r="41" spans="1:11" x14ac:dyDescent="0.25">
      <c r="A41"/>
      <c r="B41" s="155">
        <v>16.079999999999998</v>
      </c>
      <c r="C41" s="161">
        <v>150</v>
      </c>
      <c r="D41"/>
    </row>
    <row r="42" spans="1:11" x14ac:dyDescent="0.25">
      <c r="A42"/>
      <c r="B42" s="155">
        <v>14.69</v>
      </c>
      <c r="C42" s="161">
        <v>360</v>
      </c>
      <c r="D42"/>
    </row>
    <row r="44" spans="1:11" ht="27.95" customHeight="1" x14ac:dyDescent="0.25">
      <c r="A44" s="206" t="s">
        <v>271</v>
      </c>
      <c r="B44" s="155">
        <v>20.58</v>
      </c>
      <c r="C44" s="161">
        <v>0</v>
      </c>
      <c r="D44" s="156">
        <f>'STEICOsecure Timber'!$G$48</f>
        <v>90</v>
      </c>
      <c r="E44" s="156">
        <f>IF(D44&lt;C45,B44,IF(AND(D44&gt;=C45,D44&lt;C46),B45,B46))</f>
        <v>20.58</v>
      </c>
    </row>
    <row r="45" spans="1:11" x14ac:dyDescent="0.25">
      <c r="A45"/>
      <c r="B45" s="155">
        <v>19.62</v>
      </c>
      <c r="C45" s="161">
        <v>150</v>
      </c>
      <c r="D45"/>
    </row>
    <row r="46" spans="1:11" x14ac:dyDescent="0.25">
      <c r="A46"/>
      <c r="B46" s="155">
        <v>17.95</v>
      </c>
      <c r="C46" s="161">
        <v>360</v>
      </c>
      <c r="D46"/>
    </row>
    <row r="48" spans="1:11" ht="30" x14ac:dyDescent="0.25">
      <c r="A48" s="206" t="s">
        <v>272</v>
      </c>
      <c r="B48" s="155">
        <v>22.41</v>
      </c>
      <c r="C48" s="161">
        <v>0</v>
      </c>
      <c r="D48" s="156">
        <f>'STEICOsecure Timber'!$G$48</f>
        <v>90</v>
      </c>
      <c r="E48" s="156">
        <f>IF(D48&lt;C49,B48,IF(AND(D48&gt;=C49,D48&lt;C50),B49,B50))</f>
        <v>22.41</v>
      </c>
    </row>
    <row r="49" spans="1:5" x14ac:dyDescent="0.25">
      <c r="A49"/>
      <c r="B49" s="155">
        <v>21.45</v>
      </c>
      <c r="C49" s="161">
        <v>150</v>
      </c>
      <c r="D49"/>
    </row>
    <row r="50" spans="1:5" x14ac:dyDescent="0.25">
      <c r="A50"/>
      <c r="B50" s="155">
        <v>19.78</v>
      </c>
      <c r="C50" s="161">
        <v>360</v>
      </c>
      <c r="D50"/>
    </row>
    <row r="52" spans="1:5" ht="27.95" customHeight="1" x14ac:dyDescent="0.25">
      <c r="A52" s="206" t="s">
        <v>274</v>
      </c>
      <c r="B52" s="155">
        <v>31.4</v>
      </c>
      <c r="C52" s="161">
        <v>0</v>
      </c>
      <c r="D52" s="156">
        <f>'STEICOsecure Timber'!$G$48</f>
        <v>90</v>
      </c>
      <c r="E52" s="156">
        <f>IF(D52&lt;C53,B52,IF(AND(D52&gt;=C53,D52&lt;C54),B53,B54))</f>
        <v>31.4</v>
      </c>
    </row>
    <row r="53" spans="1:5" x14ac:dyDescent="0.25">
      <c r="A53"/>
      <c r="B53" s="155">
        <v>30.44</v>
      </c>
      <c r="C53" s="161">
        <v>150</v>
      </c>
      <c r="D53"/>
    </row>
    <row r="54" spans="1:5" x14ac:dyDescent="0.25">
      <c r="A54"/>
      <c r="B54" s="155">
        <v>28.77</v>
      </c>
      <c r="C54" s="161">
        <v>360</v>
      </c>
      <c r="D54"/>
    </row>
  </sheetData>
  <mergeCells count="5">
    <mergeCell ref="A26:E26"/>
    <mergeCell ref="A34:E34"/>
    <mergeCell ref="A1:E1"/>
    <mergeCell ref="A3:E3"/>
    <mergeCell ref="A12:E12"/>
  </mergeCells>
  <pageMargins left="0.7" right="0.7" top="0.78740157499999996" bottom="0.78740157499999996" header="0.3" footer="0.3"/>
  <pageSetup paperSize="9" orientation="portrait" horizontalDpi="300" verticalDpi="0" copies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workbookViewId="0">
      <pane ySplit="1" topLeftCell="A32" activePane="bottomLeft" state="frozen"/>
      <selection pane="bottomLeft" activeCell="D52" sqref="D52"/>
    </sheetView>
  </sheetViews>
  <sheetFormatPr baseColWidth="10" defaultColWidth="11.42578125" defaultRowHeight="15" x14ac:dyDescent="0.25"/>
  <cols>
    <col min="1" max="1" width="41.140625" style="154" customWidth="1"/>
    <col min="2" max="2" width="15.5703125" style="154" customWidth="1"/>
    <col min="3" max="3" width="15" style="162" customWidth="1"/>
    <col min="4" max="4" width="13.42578125" style="154" bestFit="1" customWidth="1"/>
    <col min="5" max="5" width="17.140625" style="154" bestFit="1" customWidth="1"/>
    <col min="6" max="16384" width="11.42578125" style="154"/>
  </cols>
  <sheetData>
    <row r="1" spans="1:11" ht="19.5" thickBot="1" x14ac:dyDescent="0.35">
      <c r="A1" s="231" t="s">
        <v>235</v>
      </c>
      <c r="B1" s="232"/>
      <c r="C1" s="232"/>
      <c r="D1" s="232"/>
      <c r="E1" s="233"/>
      <c r="F1"/>
      <c r="G1"/>
    </row>
    <row r="2" spans="1:11" customFormat="1" x14ac:dyDescent="0.25"/>
    <row r="3" spans="1:11" ht="20.25" customHeight="1" x14ac:dyDescent="0.25">
      <c r="A3" s="230" t="s">
        <v>135</v>
      </c>
      <c r="B3" s="230"/>
      <c r="C3" s="230"/>
      <c r="D3" s="230"/>
      <c r="E3" s="230"/>
    </row>
    <row r="4" spans="1:11" ht="35.25" customHeight="1" x14ac:dyDescent="0.25">
      <c r="A4" s="157" t="s">
        <v>30</v>
      </c>
      <c r="B4" s="157" t="s">
        <v>228</v>
      </c>
      <c r="C4" s="163" t="s">
        <v>234</v>
      </c>
      <c r="D4" s="157" t="s">
        <v>230</v>
      </c>
      <c r="E4" s="157" t="s">
        <v>231</v>
      </c>
    </row>
    <row r="5" spans="1:11" ht="30" x14ac:dyDescent="0.25">
      <c r="A5" s="160" t="s">
        <v>53</v>
      </c>
      <c r="B5" s="155">
        <v>1.66</v>
      </c>
      <c r="C5" s="161">
        <v>0</v>
      </c>
      <c r="D5" s="156">
        <f>'STEICOsecure Mineral'!G27</f>
        <v>1500</v>
      </c>
      <c r="E5" s="156">
        <f>IF(D5&lt;C6,B5,IF(AND(D5&gt;=C6,D5&lt;C7),B6,IF(AND(D5&gt;=C7,D5&lt;C8),B7,IF(AND(D5&gt;=C8,D5&lt;C9),B8,IF(AND(D5&gt;=C9,D5&lt;C10),B9,B10)))))</f>
        <v>1.53</v>
      </c>
    </row>
    <row r="6" spans="1:11" x14ac:dyDescent="0.25">
      <c r="B6" s="155">
        <v>1.53</v>
      </c>
      <c r="C6" s="161">
        <v>901</v>
      </c>
    </row>
    <row r="7" spans="1:11" x14ac:dyDescent="0.25">
      <c r="B7" s="155">
        <v>1.35</v>
      </c>
      <c r="C7" s="161">
        <v>2701</v>
      </c>
    </row>
    <row r="8" spans="1:11" x14ac:dyDescent="0.25">
      <c r="B8" s="155">
        <v>1.29</v>
      </c>
      <c r="C8" s="161">
        <v>4501</v>
      </c>
    </row>
    <row r="9" spans="1:11" x14ac:dyDescent="0.25">
      <c r="B9" s="155">
        <v>1.22</v>
      </c>
      <c r="C9" s="161">
        <v>9001</v>
      </c>
    </row>
    <row r="10" spans="1:11" x14ac:dyDescent="0.25">
      <c r="B10" s="155">
        <v>1.1599999999999999</v>
      </c>
      <c r="C10" s="161">
        <v>23400</v>
      </c>
    </row>
    <row r="12" spans="1:11" ht="21" x14ac:dyDescent="0.25">
      <c r="A12" s="230" t="s">
        <v>52</v>
      </c>
      <c r="B12" s="230"/>
      <c r="C12" s="230"/>
      <c r="D12" s="230"/>
      <c r="E12" s="230"/>
      <c r="F12" s="158"/>
      <c r="G12" s="158"/>
      <c r="H12" s="158"/>
      <c r="I12" s="158"/>
      <c r="J12" s="159"/>
      <c r="K12" s="158"/>
    </row>
    <row r="13" spans="1:11" ht="30" x14ac:dyDescent="0.25">
      <c r="A13" s="157" t="s">
        <v>30</v>
      </c>
      <c r="B13" s="157" t="s">
        <v>215</v>
      </c>
      <c r="C13" s="163" t="s">
        <v>236</v>
      </c>
      <c r="D13" s="157" t="s">
        <v>232</v>
      </c>
      <c r="E13" s="157" t="s">
        <v>233</v>
      </c>
    </row>
    <row r="14" spans="1:11" ht="28.5" customHeight="1" x14ac:dyDescent="0.25">
      <c r="A14" s="160" t="s">
        <v>242</v>
      </c>
      <c r="B14" s="155">
        <v>2.9</v>
      </c>
      <c r="C14" s="161">
        <v>0</v>
      </c>
      <c r="D14" s="156">
        <f>'STEICOsecure Mineral'!$G$30</f>
        <v>200</v>
      </c>
      <c r="E14" s="156">
        <f>IF(D14&lt;C15,B14,B15)</f>
        <v>2.9</v>
      </c>
    </row>
    <row r="15" spans="1:11" x14ac:dyDescent="0.25">
      <c r="B15" s="155">
        <v>2.4700000000000002</v>
      </c>
      <c r="C15" s="161">
        <v>401</v>
      </c>
    </row>
    <row r="16" spans="1:11" customFormat="1" x14ac:dyDescent="0.25"/>
    <row r="17" spans="1:5" ht="28.5" customHeight="1" x14ac:dyDescent="0.25">
      <c r="A17" s="160" t="s">
        <v>244</v>
      </c>
      <c r="B17" s="155">
        <v>2.9</v>
      </c>
      <c r="C17" s="161">
        <v>0</v>
      </c>
      <c r="D17" s="156">
        <f>'STEICOsecure Mineral'!$G$62</f>
        <v>50</v>
      </c>
      <c r="E17" s="156">
        <f>IF(D17&lt;C18,B17,B18)</f>
        <v>2.9</v>
      </c>
    </row>
    <row r="18" spans="1:5" x14ac:dyDescent="0.25">
      <c r="B18" s="155">
        <v>2.4700000000000002</v>
      </c>
      <c r="C18" s="161">
        <v>401</v>
      </c>
    </row>
    <row r="20" spans="1:5" ht="28.5" customHeight="1" x14ac:dyDescent="0.25">
      <c r="A20" s="160" t="s">
        <v>243</v>
      </c>
      <c r="B20" s="155">
        <v>3.4</v>
      </c>
      <c r="C20" s="161">
        <v>0</v>
      </c>
      <c r="D20" s="156">
        <f>'STEICOsecure Mineral'!$G$30</f>
        <v>200</v>
      </c>
      <c r="E20" s="156">
        <f>IF(D20&lt;C21,B20,B21)</f>
        <v>3.4</v>
      </c>
    </row>
    <row r="21" spans="1:5" x14ac:dyDescent="0.25">
      <c r="B21" s="155">
        <v>2.9</v>
      </c>
      <c r="C21" s="161">
        <v>401</v>
      </c>
    </row>
    <row r="22" spans="1:5" customFormat="1" x14ac:dyDescent="0.25"/>
    <row r="23" spans="1:5" ht="28.5" customHeight="1" x14ac:dyDescent="0.25">
      <c r="A23" s="160" t="s">
        <v>245</v>
      </c>
      <c r="B23" s="155">
        <v>3.4</v>
      </c>
      <c r="C23" s="161">
        <v>0</v>
      </c>
      <c r="D23" s="156">
        <f>'STEICOsecure Mineral'!$G$62</f>
        <v>50</v>
      </c>
      <c r="E23" s="156">
        <f>IF(D23&lt;C24,B23,B24)</f>
        <v>3.4</v>
      </c>
    </row>
    <row r="24" spans="1:5" x14ac:dyDescent="0.25">
      <c r="B24" s="155">
        <v>2.9</v>
      </c>
      <c r="C24" s="161">
        <v>401</v>
      </c>
    </row>
    <row r="26" spans="1:5" s="158" customFormat="1" ht="21" x14ac:dyDescent="0.25">
      <c r="A26" s="230" t="s">
        <v>136</v>
      </c>
      <c r="B26" s="230"/>
      <c r="C26" s="230"/>
      <c r="D26" s="230"/>
      <c r="E26" s="230"/>
    </row>
    <row r="27" spans="1:5" ht="30" x14ac:dyDescent="0.25">
      <c r="A27" s="157" t="s">
        <v>30</v>
      </c>
      <c r="B27" s="157" t="s">
        <v>215</v>
      </c>
      <c r="C27" s="163" t="s">
        <v>234</v>
      </c>
      <c r="D27" s="157" t="s">
        <v>230</v>
      </c>
      <c r="E27" s="157" t="s">
        <v>233</v>
      </c>
    </row>
    <row r="28" spans="1:5" ht="30" x14ac:dyDescent="0.25">
      <c r="A28" s="160" t="s">
        <v>140</v>
      </c>
      <c r="B28" s="155">
        <v>6.88</v>
      </c>
      <c r="C28" s="161">
        <v>0</v>
      </c>
      <c r="D28" s="156">
        <f>'STEICOsecure Mineral'!$G$33</f>
        <v>100</v>
      </c>
      <c r="E28" s="156">
        <f>IF(D28&lt;C29,B28,B29)</f>
        <v>6.88</v>
      </c>
    </row>
    <row r="29" spans="1:5" x14ac:dyDescent="0.25">
      <c r="A29"/>
      <c r="B29" s="155">
        <v>5.81</v>
      </c>
      <c r="C29" s="161">
        <v>600</v>
      </c>
    </row>
    <row r="31" spans="1:5" ht="30" x14ac:dyDescent="0.25">
      <c r="A31" s="160" t="s">
        <v>219</v>
      </c>
      <c r="B31" s="155">
        <v>6.03</v>
      </c>
      <c r="C31" s="161" t="s">
        <v>2</v>
      </c>
      <c r="D31" s="156">
        <f>'STEICOsecure Mineral'!$G$33</f>
        <v>100</v>
      </c>
      <c r="E31" s="156">
        <f>IF(D31&lt;C32,B31,B32)</f>
        <v>6.03</v>
      </c>
    </row>
    <row r="32" spans="1:5" x14ac:dyDescent="0.25">
      <c r="A32"/>
      <c r="B32" s="155">
        <v>5.07</v>
      </c>
      <c r="C32" s="161">
        <v>600</v>
      </c>
    </row>
    <row r="34" spans="1:11" ht="21" x14ac:dyDescent="0.25">
      <c r="A34" s="230" t="s">
        <v>0</v>
      </c>
      <c r="B34" s="230"/>
      <c r="C34" s="230"/>
      <c r="D34" s="230"/>
      <c r="E34" s="230"/>
      <c r="F34" s="127"/>
      <c r="G34" s="127"/>
      <c r="H34" s="129"/>
      <c r="I34" s="129"/>
      <c r="J34" s="129"/>
      <c r="K34" s="127"/>
    </row>
    <row r="35" spans="1:11" ht="30" x14ac:dyDescent="0.25">
      <c r="A35" s="157" t="s">
        <v>30</v>
      </c>
      <c r="B35" s="157" t="s">
        <v>215</v>
      </c>
      <c r="C35" s="163" t="s">
        <v>237</v>
      </c>
      <c r="D35" s="157" t="s">
        <v>238</v>
      </c>
      <c r="E35" s="157" t="s">
        <v>239</v>
      </c>
    </row>
    <row r="36" spans="1:11" ht="30" x14ac:dyDescent="0.25">
      <c r="A36" s="160" t="s">
        <v>161</v>
      </c>
      <c r="B36" s="155">
        <v>15.84</v>
      </c>
      <c r="C36" s="161">
        <v>0</v>
      </c>
      <c r="D36" s="156">
        <f>'STEICOsecure Mineral'!$G$51</f>
        <v>90</v>
      </c>
      <c r="E36" s="156">
        <f>IF(D36&lt;C37,B36,IF(AND(D36&gt;=C37,D36&lt;C38),B37,B38))</f>
        <v>15.84</v>
      </c>
    </row>
    <row r="37" spans="1:11" x14ac:dyDescent="0.25">
      <c r="A37"/>
      <c r="B37" s="155">
        <v>14.55</v>
      </c>
      <c r="C37" s="161">
        <v>150</v>
      </c>
      <c r="D37"/>
    </row>
    <row r="38" spans="1:11" x14ac:dyDescent="0.25">
      <c r="A38"/>
      <c r="B38" s="155">
        <v>13.26</v>
      </c>
      <c r="C38" s="161">
        <v>360</v>
      </c>
      <c r="D38"/>
    </row>
    <row r="40" spans="1:11" ht="30" x14ac:dyDescent="0.25">
      <c r="A40" s="160" t="s">
        <v>162</v>
      </c>
      <c r="B40" s="155">
        <v>17.510000000000002</v>
      </c>
      <c r="C40" s="161">
        <v>0</v>
      </c>
      <c r="D40" s="156">
        <f>'STEICOsecure Mineral'!$G$51</f>
        <v>90</v>
      </c>
      <c r="E40" s="156">
        <f>IF(D40&lt;C41,B40,IF(AND(D40&gt;=C41,D40&lt;C42),B41,B42))</f>
        <v>17.510000000000002</v>
      </c>
    </row>
    <row r="41" spans="1:11" x14ac:dyDescent="0.25">
      <c r="A41"/>
      <c r="B41" s="155">
        <v>16.079999999999998</v>
      </c>
      <c r="C41" s="161">
        <v>150</v>
      </c>
      <c r="D41"/>
    </row>
    <row r="42" spans="1:11" x14ac:dyDescent="0.25">
      <c r="A42"/>
      <c r="B42" s="155">
        <v>14.69</v>
      </c>
      <c r="C42" s="161">
        <v>360</v>
      </c>
      <c r="D42"/>
    </row>
    <row r="44" spans="1:11" ht="27.95" customHeight="1" x14ac:dyDescent="0.25">
      <c r="A44" s="206" t="s">
        <v>271</v>
      </c>
      <c r="B44" s="155">
        <v>20.58</v>
      </c>
      <c r="C44" s="161">
        <v>0</v>
      </c>
      <c r="D44" s="156">
        <f>'STEICOsecure Mineral'!$G$51</f>
        <v>90</v>
      </c>
      <c r="E44" s="156">
        <f>IF(D44&lt;C45,B44,IF(AND(D44&gt;=C45,D44&lt;C46),B45,B46))</f>
        <v>20.58</v>
      </c>
    </row>
    <row r="45" spans="1:11" x14ac:dyDescent="0.25">
      <c r="A45"/>
      <c r="B45" s="155">
        <v>19.62</v>
      </c>
      <c r="C45" s="161">
        <v>150</v>
      </c>
      <c r="D45"/>
    </row>
    <row r="46" spans="1:11" x14ac:dyDescent="0.25">
      <c r="A46"/>
      <c r="B46" s="155">
        <v>17.95</v>
      </c>
      <c r="C46" s="161">
        <v>360</v>
      </c>
      <c r="D46"/>
    </row>
    <row r="48" spans="1:11" ht="30" x14ac:dyDescent="0.25">
      <c r="A48" s="206" t="s">
        <v>272</v>
      </c>
      <c r="B48" s="155">
        <v>22.41</v>
      </c>
      <c r="C48" s="161">
        <v>0</v>
      </c>
      <c r="D48" s="156">
        <f>'STEICOsecure Mineral'!$G$51</f>
        <v>90</v>
      </c>
      <c r="E48" s="156">
        <f>IF(D48&lt;C49,B48,IF(AND(D48&gt;=C49,D48&lt;C50),B49,B50))</f>
        <v>22.41</v>
      </c>
    </row>
    <row r="49" spans="1:5" x14ac:dyDescent="0.25">
      <c r="A49"/>
      <c r="B49" s="155">
        <v>21.45</v>
      </c>
      <c r="C49" s="161">
        <v>150</v>
      </c>
      <c r="D49"/>
    </row>
    <row r="50" spans="1:5" x14ac:dyDescent="0.25">
      <c r="A50"/>
      <c r="B50" s="155">
        <v>19.78</v>
      </c>
      <c r="C50" s="161">
        <v>360</v>
      </c>
      <c r="D50"/>
    </row>
    <row r="52" spans="1:5" ht="27.95" customHeight="1" x14ac:dyDescent="0.25">
      <c r="A52" s="206" t="s">
        <v>274</v>
      </c>
      <c r="B52" s="155">
        <v>31.4</v>
      </c>
      <c r="C52" s="161">
        <v>0</v>
      </c>
      <c r="D52" s="156">
        <f>'STEICOsecure Mineral'!$G$51</f>
        <v>90</v>
      </c>
      <c r="E52" s="156">
        <f>IF(D52&lt;C53,B52,IF(AND(D52&gt;=C53,D52&lt;C54),B53,B54))</f>
        <v>31.4</v>
      </c>
    </row>
    <row r="53" spans="1:5" x14ac:dyDescent="0.25">
      <c r="A53"/>
      <c r="B53" s="155">
        <v>30.44</v>
      </c>
      <c r="C53" s="161">
        <v>150</v>
      </c>
      <c r="D53"/>
    </row>
    <row r="54" spans="1:5" x14ac:dyDescent="0.25">
      <c r="A54"/>
      <c r="B54" s="155">
        <v>28.77</v>
      </c>
      <c r="C54" s="161">
        <v>360</v>
      </c>
      <c r="D54"/>
    </row>
  </sheetData>
  <mergeCells count="5">
    <mergeCell ref="A1:E1"/>
    <mergeCell ref="A3:E3"/>
    <mergeCell ref="A12:E12"/>
    <mergeCell ref="A26:E26"/>
    <mergeCell ref="A34:E34"/>
  </mergeCells>
  <pageMargins left="0.7" right="0.7" top="0.78740157499999996" bottom="0.78740157499999996" header="0.3" footer="0.3"/>
  <pageSetup paperSize="9" orientation="portrait" horizontalDpi="300" verticalDpi="0" copies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workbookViewId="0">
      <selection activeCell="M39" sqref="M39"/>
    </sheetView>
  </sheetViews>
  <sheetFormatPr baseColWidth="10" defaultRowHeight="15" outlineLevelRow="1" x14ac:dyDescent="0.25"/>
  <cols>
    <col min="1" max="1" width="28.5703125" bestFit="1" customWidth="1"/>
    <col min="2" max="2" width="14.85546875" bestFit="1" customWidth="1"/>
    <col min="3" max="3" width="4.42578125" bestFit="1" customWidth="1"/>
    <col min="4" max="4" width="8.140625" bestFit="1" customWidth="1"/>
    <col min="6" max="8" width="2.85546875" bestFit="1" customWidth="1"/>
    <col min="9" max="9" width="13.140625" customWidth="1"/>
    <col min="10" max="10" width="13.85546875" customWidth="1"/>
    <col min="11" max="11" width="4.42578125" bestFit="1" customWidth="1"/>
  </cols>
  <sheetData>
    <row r="1" spans="1:11" s="148" customFormat="1" ht="21" x14ac:dyDescent="0.25">
      <c r="A1" s="146">
        <v>1</v>
      </c>
      <c r="B1" s="147">
        <v>2</v>
      </c>
      <c r="C1" s="146">
        <v>3</v>
      </c>
      <c r="D1" s="147">
        <v>4</v>
      </c>
      <c r="E1" s="146">
        <v>5</v>
      </c>
      <c r="F1" s="146">
        <v>6</v>
      </c>
      <c r="G1" s="147">
        <v>7</v>
      </c>
      <c r="H1" s="146">
        <v>8</v>
      </c>
      <c r="I1" s="147">
        <v>9</v>
      </c>
      <c r="J1" s="146">
        <v>10</v>
      </c>
    </row>
    <row r="2" spans="1:11" s="127" customFormat="1" ht="20.25" x14ac:dyDescent="0.25">
      <c r="A2" s="229" t="s">
        <v>251</v>
      </c>
      <c r="B2" s="229"/>
      <c r="C2" s="229"/>
      <c r="D2" s="229"/>
      <c r="J2" s="129"/>
      <c r="K2" s="130"/>
    </row>
    <row r="3" spans="1:11" s="6" customFormat="1" ht="30" x14ac:dyDescent="0.25">
      <c r="A3" s="4" t="s">
        <v>30</v>
      </c>
      <c r="B3" s="4" t="s">
        <v>12</v>
      </c>
      <c r="C3" s="31" t="s">
        <v>5</v>
      </c>
      <c r="D3" s="4" t="s">
        <v>4</v>
      </c>
      <c r="E3" s="4" t="s">
        <v>6</v>
      </c>
      <c r="F3" s="4"/>
      <c r="G3" s="7"/>
      <c r="H3" s="5"/>
      <c r="I3" s="150" t="s">
        <v>258</v>
      </c>
      <c r="J3" s="4" t="s">
        <v>28</v>
      </c>
      <c r="K3" s="32"/>
    </row>
    <row r="4" spans="1:11" s="127" customFormat="1" outlineLevel="1" x14ac:dyDescent="0.25">
      <c r="A4" s="131" t="str">
        <f>CONCATENATE("ejotherm STR H ",K4)</f>
        <v>ejotherm STR H 80</v>
      </c>
      <c r="B4" s="131"/>
      <c r="C4" s="131">
        <v>100</v>
      </c>
      <c r="D4" s="131"/>
      <c r="E4" s="131">
        <v>100</v>
      </c>
      <c r="F4" s="132">
        <v>1</v>
      </c>
      <c r="H4" s="133"/>
      <c r="I4" s="134"/>
      <c r="J4" s="152">
        <v>78.13</v>
      </c>
      <c r="K4" s="130">
        <v>80</v>
      </c>
    </row>
    <row r="5" spans="1:11" s="129" customFormat="1" outlineLevel="1" x14ac:dyDescent="0.25">
      <c r="A5" s="131" t="str">
        <f t="shared" ref="A5:A17" si="0">CONCATENATE("ejotherm STR H ",K5)</f>
        <v>ejotherm STR H 100</v>
      </c>
      <c r="B5" s="131"/>
      <c r="C5" s="131">
        <v>100</v>
      </c>
      <c r="D5" s="131"/>
      <c r="E5" s="131">
        <v>100</v>
      </c>
      <c r="F5" s="132">
        <v>1</v>
      </c>
      <c r="G5" s="127"/>
      <c r="H5" s="133"/>
      <c r="I5" s="134"/>
      <c r="J5" s="152">
        <v>87.32</v>
      </c>
      <c r="K5" s="130">
        <v>100</v>
      </c>
    </row>
    <row r="6" spans="1:11" s="127" customFormat="1" outlineLevel="1" x14ac:dyDescent="0.25">
      <c r="A6" s="131" t="str">
        <f t="shared" si="0"/>
        <v>ejotherm STR H 120</v>
      </c>
      <c r="B6" s="131"/>
      <c r="C6" s="131">
        <v>100</v>
      </c>
      <c r="D6" s="131"/>
      <c r="E6" s="131">
        <v>100</v>
      </c>
      <c r="F6" s="132">
        <v>1</v>
      </c>
      <c r="H6" s="133"/>
      <c r="I6" s="134"/>
      <c r="J6" s="152">
        <v>97.82</v>
      </c>
      <c r="K6" s="130">
        <v>120</v>
      </c>
    </row>
    <row r="7" spans="1:11" s="127" customFormat="1" outlineLevel="1" x14ac:dyDescent="0.25">
      <c r="A7" s="131" t="str">
        <f t="shared" si="0"/>
        <v>ejotherm STR H 140</v>
      </c>
      <c r="B7" s="131"/>
      <c r="C7" s="131">
        <v>100</v>
      </c>
      <c r="D7" s="131"/>
      <c r="E7" s="131">
        <v>100</v>
      </c>
      <c r="F7" s="132">
        <v>1</v>
      </c>
      <c r="H7" s="133"/>
      <c r="I7" s="134"/>
      <c r="J7" s="152">
        <v>110.89</v>
      </c>
      <c r="K7" s="130">
        <v>140</v>
      </c>
    </row>
    <row r="8" spans="1:11" s="127" customFormat="1" outlineLevel="1" x14ac:dyDescent="0.25">
      <c r="A8" s="131" t="str">
        <f t="shared" si="0"/>
        <v>ejotherm STR H 160</v>
      </c>
      <c r="B8" s="131"/>
      <c r="C8" s="131">
        <v>100</v>
      </c>
      <c r="D8" s="131"/>
      <c r="E8" s="131">
        <v>100</v>
      </c>
      <c r="F8" s="132">
        <v>1</v>
      </c>
      <c r="H8" s="133"/>
      <c r="I8" s="134"/>
      <c r="J8" s="152">
        <v>125.24</v>
      </c>
      <c r="K8" s="130">
        <v>160</v>
      </c>
    </row>
    <row r="9" spans="1:11" s="127" customFormat="1" outlineLevel="1" x14ac:dyDescent="0.25">
      <c r="A9" s="131" t="str">
        <f t="shared" si="0"/>
        <v>ejotherm STR H 180</v>
      </c>
      <c r="B9" s="131"/>
      <c r="C9" s="131">
        <v>100</v>
      </c>
      <c r="D9" s="131"/>
      <c r="E9" s="131">
        <v>100</v>
      </c>
      <c r="F9" s="132">
        <v>1</v>
      </c>
      <c r="H9" s="133"/>
      <c r="I9" s="134"/>
      <c r="J9" s="152">
        <v>142.79</v>
      </c>
      <c r="K9" s="130">
        <v>180</v>
      </c>
    </row>
    <row r="10" spans="1:11" s="127" customFormat="1" outlineLevel="1" x14ac:dyDescent="0.25">
      <c r="A10" s="131" t="str">
        <f t="shared" si="0"/>
        <v>ejotherm STR H 200</v>
      </c>
      <c r="B10" s="131"/>
      <c r="C10" s="131">
        <v>100</v>
      </c>
      <c r="D10" s="131"/>
      <c r="E10" s="131">
        <v>100</v>
      </c>
      <c r="F10" s="132">
        <v>1</v>
      </c>
      <c r="H10" s="133"/>
      <c r="I10" s="134"/>
      <c r="J10" s="152">
        <v>156.13999999999999</v>
      </c>
      <c r="K10" s="130">
        <v>200</v>
      </c>
    </row>
    <row r="11" spans="1:11" s="127" customFormat="1" outlineLevel="1" x14ac:dyDescent="0.25">
      <c r="A11" s="131" t="str">
        <f t="shared" si="0"/>
        <v>ejotherm STR H 220</v>
      </c>
      <c r="B11" s="131"/>
      <c r="C11" s="131">
        <v>100</v>
      </c>
      <c r="D11" s="131"/>
      <c r="E11" s="131">
        <v>100</v>
      </c>
      <c r="F11" s="132">
        <v>1</v>
      </c>
      <c r="H11" s="133"/>
      <c r="I11" s="134"/>
      <c r="J11" s="152">
        <v>176.08</v>
      </c>
      <c r="K11" s="130">
        <v>220</v>
      </c>
    </row>
    <row r="12" spans="1:11" s="127" customFormat="1" outlineLevel="1" x14ac:dyDescent="0.25">
      <c r="A12" s="131" t="str">
        <f t="shared" si="0"/>
        <v>ejotherm STR H 240</v>
      </c>
      <c r="B12" s="131"/>
      <c r="C12" s="131">
        <v>100</v>
      </c>
      <c r="D12" s="131"/>
      <c r="E12" s="131">
        <v>100</v>
      </c>
      <c r="F12" s="132">
        <v>1</v>
      </c>
      <c r="H12" s="133"/>
      <c r="I12" s="134"/>
      <c r="J12" s="152">
        <v>198.99</v>
      </c>
      <c r="K12" s="130">
        <v>240</v>
      </c>
    </row>
    <row r="13" spans="1:11" s="127" customFormat="1" outlineLevel="1" x14ac:dyDescent="0.25">
      <c r="A13" s="131" t="str">
        <f t="shared" si="0"/>
        <v>ejotherm STR H 260</v>
      </c>
      <c r="B13" s="131"/>
      <c r="C13" s="131">
        <v>100</v>
      </c>
      <c r="D13" s="131"/>
      <c r="E13" s="131">
        <v>100</v>
      </c>
      <c r="F13" s="132">
        <v>1</v>
      </c>
      <c r="H13" s="133"/>
      <c r="I13" s="134"/>
      <c r="J13" s="152">
        <v>204.32</v>
      </c>
      <c r="K13" s="130">
        <v>260</v>
      </c>
    </row>
    <row r="14" spans="1:11" s="127" customFormat="1" outlineLevel="1" x14ac:dyDescent="0.25">
      <c r="A14" s="131" t="str">
        <f t="shared" si="0"/>
        <v>ejotherm STR H 280</v>
      </c>
      <c r="B14" s="131"/>
      <c r="C14" s="131">
        <v>100</v>
      </c>
      <c r="D14" s="131"/>
      <c r="E14" s="131">
        <v>100</v>
      </c>
      <c r="F14" s="132">
        <v>1</v>
      </c>
      <c r="H14" s="133"/>
      <c r="I14" s="134"/>
      <c r="J14" s="152">
        <v>243.28</v>
      </c>
      <c r="K14" s="130">
        <v>280</v>
      </c>
    </row>
    <row r="15" spans="1:11" s="127" customFormat="1" outlineLevel="1" x14ac:dyDescent="0.25">
      <c r="A15" s="131" t="str">
        <f t="shared" si="0"/>
        <v>ejotherm STR H 300</v>
      </c>
      <c r="B15" s="131"/>
      <c r="C15" s="131">
        <v>100</v>
      </c>
      <c r="D15" s="131"/>
      <c r="E15" s="131">
        <v>100</v>
      </c>
      <c r="F15" s="132">
        <v>1</v>
      </c>
      <c r="H15" s="133"/>
      <c r="I15" s="134"/>
      <c r="J15" s="152">
        <v>269.36</v>
      </c>
      <c r="K15" s="130">
        <v>300</v>
      </c>
    </row>
    <row r="16" spans="1:11" s="129" customFormat="1" outlineLevel="1" x14ac:dyDescent="0.25">
      <c r="A16" s="131" t="str">
        <f t="shared" si="0"/>
        <v>ejotherm STR H 320</v>
      </c>
      <c r="B16" s="131"/>
      <c r="C16" s="131">
        <v>100</v>
      </c>
      <c r="D16" s="131"/>
      <c r="E16" s="131">
        <v>100</v>
      </c>
      <c r="F16" s="132">
        <v>1</v>
      </c>
      <c r="G16" s="127"/>
      <c r="H16" s="133"/>
      <c r="I16" s="134"/>
      <c r="J16" s="152">
        <v>283.62</v>
      </c>
      <c r="K16" s="130">
        <v>320</v>
      </c>
    </row>
    <row r="17" spans="1:11" s="129" customFormat="1" outlineLevel="1" x14ac:dyDescent="0.25">
      <c r="A17" s="131" t="str">
        <f t="shared" si="0"/>
        <v>ejotherm STR H 340</v>
      </c>
      <c r="B17" s="131"/>
      <c r="C17" s="131">
        <v>100</v>
      </c>
      <c r="D17" s="131"/>
      <c r="E17" s="131">
        <v>100</v>
      </c>
      <c r="F17" s="132">
        <v>1</v>
      </c>
      <c r="G17" s="127"/>
      <c r="H17" s="133"/>
      <c r="I17" s="134"/>
      <c r="J17" s="152">
        <v>307.95999999999998</v>
      </c>
      <c r="K17" s="130">
        <v>340</v>
      </c>
    </row>
    <row r="18" spans="1:11" s="127" customFormat="1" outlineLevel="1" x14ac:dyDescent="0.25">
      <c r="A18" s="131" t="str">
        <f>CONCATENATE("ejotherm HFS ",K18)</f>
        <v>ejotherm HFS 80</v>
      </c>
      <c r="B18" s="131"/>
      <c r="C18" s="131">
        <v>200</v>
      </c>
      <c r="D18" s="131"/>
      <c r="E18" s="131">
        <v>200</v>
      </c>
      <c r="F18" s="132">
        <v>1</v>
      </c>
      <c r="H18" s="133"/>
      <c r="I18" s="152">
        <v>71.98</v>
      </c>
      <c r="J18" s="153">
        <f>I18*2</f>
        <v>143.96</v>
      </c>
      <c r="K18" s="130">
        <v>80</v>
      </c>
    </row>
    <row r="19" spans="1:11" s="129" customFormat="1" outlineLevel="1" x14ac:dyDescent="0.25">
      <c r="A19" s="131" t="str">
        <f t="shared" ref="A19:A26" si="1">CONCATENATE("ejotherm HFS ",K19)</f>
        <v>ejotherm HFS 100</v>
      </c>
      <c r="B19" s="131"/>
      <c r="C19" s="131">
        <v>200</v>
      </c>
      <c r="D19" s="131"/>
      <c r="E19" s="131">
        <v>200</v>
      </c>
      <c r="F19" s="132">
        <v>1</v>
      </c>
      <c r="G19" s="127"/>
      <c r="H19" s="133"/>
      <c r="I19" s="152">
        <v>80.48</v>
      </c>
      <c r="J19" s="153">
        <f t="shared" ref="J19:J26" si="2">I19*2</f>
        <v>160.96</v>
      </c>
      <c r="K19" s="130">
        <v>100</v>
      </c>
    </row>
    <row r="20" spans="1:11" s="127" customFormat="1" outlineLevel="1" x14ac:dyDescent="0.25">
      <c r="A20" s="131" t="str">
        <f t="shared" si="1"/>
        <v>ejotherm HFS 120</v>
      </c>
      <c r="B20" s="131"/>
      <c r="C20" s="131">
        <v>200</v>
      </c>
      <c r="D20" s="131"/>
      <c r="E20" s="131">
        <v>200</v>
      </c>
      <c r="F20" s="132">
        <v>1</v>
      </c>
      <c r="H20" s="133"/>
      <c r="I20" s="152">
        <v>90.12</v>
      </c>
      <c r="J20" s="153">
        <f t="shared" si="2"/>
        <v>180.24</v>
      </c>
      <c r="K20" s="130">
        <v>120</v>
      </c>
    </row>
    <row r="21" spans="1:11" s="127" customFormat="1" outlineLevel="1" x14ac:dyDescent="0.25">
      <c r="A21" s="131" t="str">
        <f t="shared" si="1"/>
        <v>ejotherm HFS 140</v>
      </c>
      <c r="B21" s="131"/>
      <c r="C21" s="131">
        <v>200</v>
      </c>
      <c r="D21" s="131"/>
      <c r="E21" s="131">
        <v>200</v>
      </c>
      <c r="F21" s="132">
        <v>1</v>
      </c>
      <c r="H21" s="133"/>
      <c r="I21" s="152">
        <v>102.15</v>
      </c>
      <c r="J21" s="153">
        <f t="shared" si="2"/>
        <v>204.3</v>
      </c>
      <c r="K21" s="130">
        <v>140</v>
      </c>
    </row>
    <row r="22" spans="1:11" s="127" customFormat="1" outlineLevel="1" x14ac:dyDescent="0.25">
      <c r="A22" s="131" t="str">
        <f t="shared" si="1"/>
        <v>ejotherm HFS 160</v>
      </c>
      <c r="B22" s="131"/>
      <c r="C22" s="131">
        <v>200</v>
      </c>
      <c r="D22" s="131"/>
      <c r="E22" s="131">
        <v>200</v>
      </c>
      <c r="F22" s="132">
        <v>1</v>
      </c>
      <c r="H22" s="133"/>
      <c r="I22" s="152">
        <v>115.38</v>
      </c>
      <c r="J22" s="153">
        <f t="shared" si="2"/>
        <v>230.76</v>
      </c>
      <c r="K22" s="130">
        <v>160</v>
      </c>
    </row>
    <row r="23" spans="1:11" s="127" customFormat="1" outlineLevel="1" x14ac:dyDescent="0.25">
      <c r="A23" s="131" t="str">
        <f t="shared" si="1"/>
        <v>ejotherm HFS 180</v>
      </c>
      <c r="B23" s="131"/>
      <c r="C23" s="131">
        <v>200</v>
      </c>
      <c r="D23" s="131"/>
      <c r="E23" s="131">
        <v>200</v>
      </c>
      <c r="F23" s="132">
        <v>1</v>
      </c>
      <c r="H23" s="133"/>
      <c r="I23" s="152">
        <v>131.55000000000001</v>
      </c>
      <c r="J23" s="153">
        <f t="shared" si="2"/>
        <v>263.10000000000002</v>
      </c>
      <c r="K23" s="130">
        <v>180</v>
      </c>
    </row>
    <row r="24" spans="1:11" s="127" customFormat="1" outlineLevel="1" x14ac:dyDescent="0.25">
      <c r="A24" s="131" t="str">
        <f t="shared" si="1"/>
        <v>ejotherm HFS 200</v>
      </c>
      <c r="B24" s="131"/>
      <c r="C24" s="131">
        <v>200</v>
      </c>
      <c r="D24" s="131"/>
      <c r="E24" s="131">
        <v>200</v>
      </c>
      <c r="F24" s="132">
        <v>1</v>
      </c>
      <c r="H24" s="133"/>
      <c r="I24" s="152">
        <v>143.83000000000001</v>
      </c>
      <c r="J24" s="153">
        <f t="shared" si="2"/>
        <v>287.66000000000003</v>
      </c>
      <c r="K24" s="130">
        <v>200</v>
      </c>
    </row>
    <row r="25" spans="1:11" s="127" customFormat="1" outlineLevel="1" x14ac:dyDescent="0.25">
      <c r="A25" s="131" t="str">
        <f t="shared" si="1"/>
        <v>ejotherm HFS 220</v>
      </c>
      <c r="B25" s="131"/>
      <c r="C25" s="131">
        <v>200</v>
      </c>
      <c r="D25" s="131"/>
      <c r="E25" s="131">
        <v>200</v>
      </c>
      <c r="F25" s="132">
        <v>1</v>
      </c>
      <c r="H25" s="133"/>
      <c r="I25" s="152">
        <v>162.21</v>
      </c>
      <c r="J25" s="153">
        <f t="shared" si="2"/>
        <v>324.42</v>
      </c>
      <c r="K25" s="130">
        <v>220</v>
      </c>
    </row>
    <row r="26" spans="1:11" s="127" customFormat="1" outlineLevel="1" x14ac:dyDescent="0.25">
      <c r="A26" s="131" t="str">
        <f t="shared" si="1"/>
        <v>ejotherm HFS 240</v>
      </c>
      <c r="B26" s="131"/>
      <c r="C26" s="131">
        <v>200</v>
      </c>
      <c r="D26" s="131"/>
      <c r="E26" s="131">
        <v>200</v>
      </c>
      <c r="F26" s="132">
        <v>1</v>
      </c>
      <c r="H26" s="133"/>
      <c r="I26" s="152">
        <v>183.31</v>
      </c>
      <c r="J26" s="153">
        <f t="shared" si="2"/>
        <v>366.62</v>
      </c>
      <c r="K26" s="130">
        <v>240</v>
      </c>
    </row>
    <row r="27" spans="1:11" s="127" customFormat="1" ht="14.25" outlineLevel="1" x14ac:dyDescent="0.25">
      <c r="A27" s="131" t="s">
        <v>96</v>
      </c>
      <c r="B27" s="131"/>
      <c r="C27" s="131">
        <v>0</v>
      </c>
      <c r="D27" s="131"/>
      <c r="E27" s="131">
        <v>0</v>
      </c>
      <c r="F27" s="131">
        <v>0</v>
      </c>
      <c r="H27" s="133"/>
      <c r="I27" s="134">
        <v>0</v>
      </c>
      <c r="J27" s="134">
        <v>0</v>
      </c>
      <c r="K27" s="130"/>
    </row>
    <row r="28" spans="1:11" s="127" customFormat="1" ht="14.25" x14ac:dyDescent="0.25">
      <c r="H28" s="133"/>
      <c r="J28" s="135"/>
      <c r="K28" s="130"/>
    </row>
  </sheetData>
  <mergeCells count="1">
    <mergeCell ref="A2:D2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workbookViewId="0">
      <selection activeCell="N21" sqref="N21"/>
    </sheetView>
  </sheetViews>
  <sheetFormatPr baseColWidth="10" defaultRowHeight="15" x14ac:dyDescent="0.25"/>
  <cols>
    <col min="1" max="1" width="28.5703125" bestFit="1" customWidth="1"/>
    <col min="2" max="2" width="14.85546875" bestFit="1" customWidth="1"/>
    <col min="3" max="3" width="4.42578125" bestFit="1" customWidth="1"/>
    <col min="4" max="4" width="8.140625" bestFit="1" customWidth="1"/>
    <col min="6" max="8" width="2.85546875" bestFit="1" customWidth="1"/>
    <col min="9" max="9" width="13.140625" customWidth="1"/>
    <col min="10" max="10" width="13.85546875" customWidth="1"/>
    <col min="11" max="11" width="4.42578125" bestFit="1" customWidth="1"/>
  </cols>
  <sheetData>
    <row r="1" spans="1:11" s="148" customFormat="1" ht="21" x14ac:dyDescent="0.25">
      <c r="A1" s="146">
        <v>1</v>
      </c>
      <c r="B1" s="147">
        <v>2</v>
      </c>
      <c r="C1" s="146">
        <v>3</v>
      </c>
      <c r="D1" s="147">
        <v>4</v>
      </c>
      <c r="E1" s="146">
        <v>5</v>
      </c>
      <c r="F1" s="146">
        <v>6</v>
      </c>
      <c r="G1" s="147">
        <v>7</v>
      </c>
      <c r="H1" s="146">
        <v>8</v>
      </c>
      <c r="I1" s="147">
        <v>9</v>
      </c>
      <c r="J1" s="146">
        <v>10</v>
      </c>
    </row>
    <row r="2" spans="1:11" s="127" customFormat="1" ht="20.25" x14ac:dyDescent="0.25">
      <c r="A2" s="229" t="s">
        <v>252</v>
      </c>
      <c r="B2" s="229"/>
      <c r="C2" s="229"/>
      <c r="D2" s="229"/>
      <c r="J2" s="129"/>
      <c r="K2" s="130"/>
    </row>
    <row r="3" spans="1:11" s="6" customFormat="1" ht="30" x14ac:dyDescent="0.25">
      <c r="A3" s="4" t="s">
        <v>30</v>
      </c>
      <c r="B3" s="4" t="s">
        <v>12</v>
      </c>
      <c r="C3" s="31" t="s">
        <v>5</v>
      </c>
      <c r="D3" s="4" t="s">
        <v>4</v>
      </c>
      <c r="E3" s="4" t="s">
        <v>6</v>
      </c>
      <c r="F3" s="4"/>
      <c r="G3" s="7"/>
      <c r="H3" s="5"/>
      <c r="I3" s="4" t="s">
        <v>109</v>
      </c>
      <c r="J3" s="4" t="s">
        <v>28</v>
      </c>
      <c r="K3" s="32"/>
    </row>
    <row r="4" spans="1:11" s="6" customFormat="1" ht="14.25" x14ac:dyDescent="0.25">
      <c r="A4" s="170" t="str">
        <f>CONCATENATE("ejotherm S1 short ",K4)</f>
        <v>ejotherm S1 short 100</v>
      </c>
      <c r="B4" s="171"/>
      <c r="C4" s="171">
        <v>100</v>
      </c>
      <c r="D4" s="171"/>
      <c r="E4" s="171">
        <v>100</v>
      </c>
      <c r="F4" s="176">
        <v>1</v>
      </c>
      <c r="G4" s="7"/>
      <c r="H4" s="172"/>
      <c r="I4" s="173"/>
      <c r="J4" s="173">
        <v>58.13</v>
      </c>
      <c r="K4" s="178">
        <v>100</v>
      </c>
    </row>
    <row r="5" spans="1:11" s="6" customFormat="1" ht="14.25" x14ac:dyDescent="0.25">
      <c r="A5" s="170" t="str">
        <f>CONCATENATE("ejotherm S1 ",K5)</f>
        <v>ejotherm S1 120</v>
      </c>
      <c r="B5" s="171"/>
      <c r="C5" s="171">
        <v>100</v>
      </c>
      <c r="D5" s="171"/>
      <c r="E5" s="171">
        <v>100</v>
      </c>
      <c r="F5" s="176">
        <v>1</v>
      </c>
      <c r="G5" s="7"/>
      <c r="H5" s="172"/>
      <c r="I5" s="173"/>
      <c r="J5" s="173">
        <v>53.29</v>
      </c>
      <c r="K5" s="178">
        <v>120</v>
      </c>
    </row>
    <row r="6" spans="1:11" s="6" customFormat="1" ht="14.25" x14ac:dyDescent="0.25">
      <c r="A6" s="170" t="str">
        <f>CONCATENATE("ejotherm S1 ",K6)</f>
        <v>ejotherm S1 140</v>
      </c>
      <c r="B6" s="171"/>
      <c r="C6" s="171">
        <v>100</v>
      </c>
      <c r="D6" s="171"/>
      <c r="E6" s="171">
        <v>100</v>
      </c>
      <c r="F6" s="176">
        <v>1</v>
      </c>
      <c r="G6" s="7"/>
      <c r="H6" s="172"/>
      <c r="I6" s="173"/>
      <c r="J6" s="173">
        <v>58.6</v>
      </c>
      <c r="K6" s="178">
        <v>140</v>
      </c>
    </row>
    <row r="7" spans="1:11" s="6" customFormat="1" ht="14.25" x14ac:dyDescent="0.25">
      <c r="A7" s="170" t="str">
        <f t="shared" ref="A7:A17" si="0">CONCATENATE("ejotherm S1 ",K7)</f>
        <v>ejotherm S1 160</v>
      </c>
      <c r="B7" s="171"/>
      <c r="C7" s="171">
        <v>100</v>
      </c>
      <c r="D7" s="171"/>
      <c r="E7" s="171">
        <v>100</v>
      </c>
      <c r="F7" s="176">
        <v>1</v>
      </c>
      <c r="G7" s="7"/>
      <c r="H7" s="172"/>
      <c r="I7" s="173"/>
      <c r="J7" s="173">
        <v>64.47</v>
      </c>
      <c r="K7" s="178">
        <v>160</v>
      </c>
    </row>
    <row r="8" spans="1:11" s="6" customFormat="1" ht="14.25" x14ac:dyDescent="0.25">
      <c r="A8" s="170" t="str">
        <f t="shared" si="0"/>
        <v>ejotherm S1 180</v>
      </c>
      <c r="B8" s="171"/>
      <c r="C8" s="171">
        <v>100</v>
      </c>
      <c r="D8" s="171"/>
      <c r="E8" s="171">
        <v>100</v>
      </c>
      <c r="F8" s="176">
        <v>1</v>
      </c>
      <c r="G8" s="7"/>
      <c r="H8" s="172"/>
      <c r="I8" s="173"/>
      <c r="J8" s="173">
        <v>77.790000000000006</v>
      </c>
      <c r="K8" s="178">
        <v>180</v>
      </c>
    </row>
    <row r="9" spans="1:11" s="6" customFormat="1" ht="14.25" x14ac:dyDescent="0.25">
      <c r="A9" s="170" t="str">
        <f t="shared" si="0"/>
        <v>ejotherm S1 200</v>
      </c>
      <c r="B9" s="171"/>
      <c r="C9" s="171">
        <v>100</v>
      </c>
      <c r="D9" s="171"/>
      <c r="E9" s="171">
        <v>100</v>
      </c>
      <c r="F9" s="176">
        <v>1</v>
      </c>
      <c r="G9" s="7"/>
      <c r="H9" s="172"/>
      <c r="I9" s="173"/>
      <c r="J9" s="134">
        <v>94.84</v>
      </c>
      <c r="K9" s="178">
        <v>200</v>
      </c>
    </row>
    <row r="10" spans="1:11" s="6" customFormat="1" ht="14.25" x14ac:dyDescent="0.25">
      <c r="A10" s="170" t="str">
        <f t="shared" si="0"/>
        <v>ejotherm S1 220</v>
      </c>
      <c r="B10" s="171"/>
      <c r="C10" s="171">
        <v>100</v>
      </c>
      <c r="D10" s="171"/>
      <c r="E10" s="171">
        <v>100</v>
      </c>
      <c r="F10" s="176">
        <v>1</v>
      </c>
      <c r="G10" s="7"/>
      <c r="H10" s="172"/>
      <c r="I10" s="173"/>
      <c r="J10" s="173">
        <v>111.36</v>
      </c>
      <c r="K10" s="178">
        <v>220</v>
      </c>
    </row>
    <row r="11" spans="1:11" s="6" customFormat="1" ht="14.25" x14ac:dyDescent="0.25">
      <c r="A11" s="170" t="str">
        <f t="shared" si="0"/>
        <v>ejotherm S1 240</v>
      </c>
      <c r="B11" s="171"/>
      <c r="C11" s="171">
        <v>100</v>
      </c>
      <c r="D11" s="171"/>
      <c r="E11" s="171">
        <v>100</v>
      </c>
      <c r="F11" s="176">
        <v>1</v>
      </c>
      <c r="G11" s="7"/>
      <c r="H11" s="172"/>
      <c r="I11" s="173"/>
      <c r="J11" s="173">
        <v>127.32</v>
      </c>
      <c r="K11" s="178">
        <v>240</v>
      </c>
    </row>
    <row r="12" spans="1:11" s="6" customFormat="1" ht="14.25" x14ac:dyDescent="0.25">
      <c r="A12" s="170" t="str">
        <f t="shared" si="0"/>
        <v>ejotherm S1 260</v>
      </c>
      <c r="B12" s="171"/>
      <c r="C12" s="171">
        <v>100</v>
      </c>
      <c r="D12" s="171"/>
      <c r="E12" s="171">
        <v>100</v>
      </c>
      <c r="F12" s="176">
        <v>1</v>
      </c>
      <c r="G12" s="7"/>
      <c r="H12" s="172"/>
      <c r="I12" s="173"/>
      <c r="J12" s="173">
        <v>143.31</v>
      </c>
      <c r="K12" s="178">
        <v>260</v>
      </c>
    </row>
    <row r="13" spans="1:11" s="6" customFormat="1" ht="14.25" x14ac:dyDescent="0.25">
      <c r="A13" s="170" t="str">
        <f t="shared" si="0"/>
        <v>ejotherm S1 280</v>
      </c>
      <c r="B13" s="171"/>
      <c r="C13" s="171">
        <v>100</v>
      </c>
      <c r="D13" s="171"/>
      <c r="E13" s="171">
        <v>100</v>
      </c>
      <c r="F13" s="176">
        <v>1</v>
      </c>
      <c r="G13" s="7"/>
      <c r="H13" s="172"/>
      <c r="I13" s="173"/>
      <c r="J13" s="173">
        <v>168.34</v>
      </c>
      <c r="K13" s="178">
        <v>280</v>
      </c>
    </row>
    <row r="14" spans="1:11" s="6" customFormat="1" ht="14.25" x14ac:dyDescent="0.25">
      <c r="A14" s="170" t="str">
        <f t="shared" si="0"/>
        <v>ejotherm S1 300</v>
      </c>
      <c r="B14" s="171"/>
      <c r="C14" s="171">
        <v>100</v>
      </c>
      <c r="D14" s="171"/>
      <c r="E14" s="171">
        <v>100</v>
      </c>
      <c r="F14" s="176">
        <v>1</v>
      </c>
      <c r="G14" s="7"/>
      <c r="H14" s="172"/>
      <c r="I14" s="173"/>
      <c r="J14" s="173">
        <v>181.14</v>
      </c>
      <c r="K14" s="178">
        <v>300</v>
      </c>
    </row>
    <row r="15" spans="1:11" s="6" customFormat="1" ht="14.25" x14ac:dyDescent="0.25">
      <c r="A15" s="170" t="str">
        <f t="shared" si="0"/>
        <v>ejotherm S1 320</v>
      </c>
      <c r="B15" s="171"/>
      <c r="C15" s="171">
        <v>100</v>
      </c>
      <c r="D15" s="171"/>
      <c r="E15" s="171">
        <v>100</v>
      </c>
      <c r="F15" s="176">
        <v>1</v>
      </c>
      <c r="G15" s="7"/>
      <c r="H15" s="172"/>
      <c r="I15" s="173"/>
      <c r="J15" s="173">
        <v>251.1</v>
      </c>
      <c r="K15" s="178">
        <v>320</v>
      </c>
    </row>
    <row r="16" spans="1:11" s="6" customFormat="1" ht="14.25" x14ac:dyDescent="0.25">
      <c r="A16" s="170" t="str">
        <f t="shared" si="0"/>
        <v>ejotherm S1 340</v>
      </c>
      <c r="B16" s="171"/>
      <c r="C16" s="171">
        <v>100</v>
      </c>
      <c r="D16" s="171"/>
      <c r="E16" s="171">
        <v>100</v>
      </c>
      <c r="F16" s="176">
        <v>1</v>
      </c>
      <c r="G16" s="7"/>
      <c r="H16" s="172"/>
      <c r="I16" s="173"/>
      <c r="J16" s="173">
        <v>291.41000000000003</v>
      </c>
      <c r="K16" s="178">
        <v>340</v>
      </c>
    </row>
    <row r="17" spans="1:11" s="175" customFormat="1" x14ac:dyDescent="0.25">
      <c r="A17" s="170" t="str">
        <f t="shared" si="0"/>
        <v>ejotherm S1 360</v>
      </c>
      <c r="B17" s="171"/>
      <c r="C17" s="171">
        <v>100</v>
      </c>
      <c r="D17" s="171"/>
      <c r="E17" s="171">
        <v>100</v>
      </c>
      <c r="F17" s="176">
        <v>1</v>
      </c>
      <c r="G17" s="7"/>
      <c r="H17" s="172"/>
      <c r="I17" s="173"/>
      <c r="J17" s="173">
        <v>324.98</v>
      </c>
      <c r="K17" s="178">
        <v>360</v>
      </c>
    </row>
    <row r="18" spans="1:11" s="6" customFormat="1" ht="14.25" x14ac:dyDescent="0.25">
      <c r="A18" s="170" t="s">
        <v>96</v>
      </c>
      <c r="B18" s="171"/>
      <c r="C18" s="171">
        <v>0</v>
      </c>
      <c r="D18" s="171"/>
      <c r="E18" s="171">
        <v>0</v>
      </c>
      <c r="F18" s="176">
        <v>0</v>
      </c>
      <c r="G18" s="179"/>
      <c r="H18" s="180"/>
      <c r="I18" s="173">
        <v>0</v>
      </c>
      <c r="J18" s="177">
        <v>0</v>
      </c>
      <c r="K18" s="174"/>
    </row>
    <row r="19" spans="1:11" s="6" customFormat="1" x14ac:dyDescent="0.25">
      <c r="A19"/>
      <c r="B19"/>
      <c r="C19"/>
      <c r="D19"/>
      <c r="E19"/>
      <c r="F19"/>
      <c r="G19"/>
      <c r="H19"/>
      <c r="I19"/>
      <c r="J19"/>
      <c r="K19" s="174"/>
    </row>
  </sheetData>
  <mergeCells count="1">
    <mergeCell ref="A2:D2"/>
  </mergeCells>
  <pageMargins left="0.7" right="0.7" top="0.78740157499999996" bottom="0.78740157499999996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5"/>
  <sheetViews>
    <sheetView zoomScaleNormal="100" workbookViewId="0">
      <selection activeCell="A50" sqref="A50"/>
    </sheetView>
  </sheetViews>
  <sheetFormatPr baseColWidth="10" defaultRowHeight="15" x14ac:dyDescent="0.25"/>
  <cols>
    <col min="1" max="1" width="72.85546875" bestFit="1" customWidth="1"/>
    <col min="2" max="6" width="6.5703125" bestFit="1" customWidth="1"/>
    <col min="7" max="7" width="9.140625" bestFit="1" customWidth="1"/>
    <col min="8" max="8" width="13.85546875" bestFit="1" customWidth="1"/>
    <col min="9" max="9" width="16.85546875" style="1" bestFit="1" customWidth="1"/>
    <col min="10" max="10" width="10.5703125" style="1" bestFit="1" customWidth="1"/>
    <col min="11" max="11" width="9.5703125" bestFit="1" customWidth="1"/>
    <col min="12" max="12" width="13" bestFit="1" customWidth="1"/>
    <col min="13" max="13" width="4" style="18" bestFit="1" customWidth="1"/>
    <col min="14" max="14" width="9.85546875" style="116" bestFit="1" customWidth="1"/>
    <col min="15" max="16" width="8.85546875" style="116" bestFit="1" customWidth="1"/>
    <col min="17" max="17" width="5.42578125" bestFit="1" customWidth="1"/>
  </cols>
  <sheetData>
    <row r="1" spans="1:17" x14ac:dyDescent="0.25">
      <c r="A1" s="16">
        <v>1</v>
      </c>
      <c r="B1" s="16">
        <v>2</v>
      </c>
      <c r="C1" s="16">
        <v>3</v>
      </c>
      <c r="D1" s="16">
        <v>4</v>
      </c>
      <c r="E1" s="16">
        <v>5</v>
      </c>
      <c r="F1" s="16">
        <v>6</v>
      </c>
      <c r="G1" s="16">
        <v>7</v>
      </c>
      <c r="H1" s="16">
        <v>8</v>
      </c>
      <c r="I1" s="16">
        <v>9</v>
      </c>
      <c r="J1" s="16">
        <v>10</v>
      </c>
      <c r="K1" s="16">
        <v>11</v>
      </c>
      <c r="L1" s="16">
        <v>12</v>
      </c>
      <c r="M1" s="16">
        <v>13</v>
      </c>
      <c r="N1" s="114">
        <v>14</v>
      </c>
      <c r="O1" s="114">
        <v>15</v>
      </c>
      <c r="P1" s="114">
        <v>16</v>
      </c>
      <c r="Q1" s="16"/>
    </row>
    <row r="2" spans="1:17" x14ac:dyDescent="0.25">
      <c r="A2" s="8" t="s">
        <v>34</v>
      </c>
      <c r="B2" s="9" t="s">
        <v>35</v>
      </c>
      <c r="C2" s="234" t="s">
        <v>36</v>
      </c>
      <c r="D2" s="235"/>
      <c r="E2" s="236" t="s">
        <v>37</v>
      </c>
      <c r="F2" s="237"/>
      <c r="G2" s="9" t="s">
        <v>50</v>
      </c>
      <c r="H2" s="9" t="s">
        <v>38</v>
      </c>
      <c r="I2" s="8" t="s">
        <v>226</v>
      </c>
      <c r="J2" s="9" t="s">
        <v>39</v>
      </c>
      <c r="K2" s="9" t="s">
        <v>40</v>
      </c>
      <c r="L2" s="10" t="s">
        <v>41</v>
      </c>
      <c r="M2" s="19"/>
      <c r="N2" s="115" t="s">
        <v>121</v>
      </c>
      <c r="O2" s="115" t="s">
        <v>122</v>
      </c>
      <c r="P2" s="115" t="s">
        <v>123</v>
      </c>
      <c r="Q2" s="33" t="s">
        <v>120</v>
      </c>
    </row>
    <row r="3" spans="1:17" x14ac:dyDescent="0.25">
      <c r="A3" s="108" t="s">
        <v>174</v>
      </c>
      <c r="B3" s="106">
        <v>40</v>
      </c>
      <c r="C3" s="106">
        <v>1325</v>
      </c>
      <c r="D3" s="106">
        <v>600</v>
      </c>
      <c r="E3" s="106">
        <v>1300</v>
      </c>
      <c r="F3" s="106">
        <v>575</v>
      </c>
      <c r="G3" s="15">
        <f>D3*C3/1000000</f>
        <v>0.79500000000000004</v>
      </c>
      <c r="H3" s="106">
        <v>56</v>
      </c>
      <c r="I3" s="109">
        <f>H3*C3*D3/1000000</f>
        <v>44.52</v>
      </c>
      <c r="J3" s="110">
        <f t="shared" ref="J3:J8" si="0">I3*B3/1000</f>
        <v>1.7808000000000002</v>
      </c>
      <c r="K3" s="111">
        <v>16.920000000000002</v>
      </c>
      <c r="L3" s="17">
        <v>40</v>
      </c>
      <c r="N3" s="120">
        <v>8.35</v>
      </c>
      <c r="O3" s="120">
        <v>8.35</v>
      </c>
      <c r="P3" s="120">
        <v>9</v>
      </c>
      <c r="Q3" s="119">
        <v>-0.55000000000000004</v>
      </c>
    </row>
    <row r="4" spans="1:17" x14ac:dyDescent="0.25">
      <c r="A4" s="108" t="s">
        <v>175</v>
      </c>
      <c r="B4" s="106">
        <v>60</v>
      </c>
      <c r="C4" s="106">
        <v>1325</v>
      </c>
      <c r="D4" s="106">
        <v>600</v>
      </c>
      <c r="E4" s="106">
        <v>1300</v>
      </c>
      <c r="F4" s="106">
        <v>575</v>
      </c>
      <c r="G4" s="15">
        <f t="shared" ref="G4:G43" si="1">D4*C4/1000000</f>
        <v>0.79500000000000004</v>
      </c>
      <c r="H4" s="106">
        <v>38</v>
      </c>
      <c r="I4" s="109">
        <f t="shared" ref="I4:I43" si="2">H4*C4*D4/1000000</f>
        <v>30.21</v>
      </c>
      <c r="J4" s="110">
        <f t="shared" si="0"/>
        <v>1.8126000000000002</v>
      </c>
      <c r="K4" s="111">
        <v>25.38</v>
      </c>
      <c r="L4" s="17">
        <v>60</v>
      </c>
      <c r="N4" s="120">
        <v>8.35</v>
      </c>
      <c r="O4" s="120">
        <v>8.35</v>
      </c>
      <c r="P4" s="120">
        <v>9</v>
      </c>
      <c r="Q4" s="119">
        <v>-1</v>
      </c>
    </row>
    <row r="5" spans="1:17" x14ac:dyDescent="0.25">
      <c r="A5" s="108" t="s">
        <v>176</v>
      </c>
      <c r="B5" s="106">
        <v>80</v>
      </c>
      <c r="C5" s="106">
        <v>1325</v>
      </c>
      <c r="D5" s="106">
        <v>600</v>
      </c>
      <c r="E5" s="106">
        <v>1300</v>
      </c>
      <c r="F5" s="106">
        <v>575</v>
      </c>
      <c r="G5" s="15">
        <f t="shared" si="1"/>
        <v>0.79500000000000004</v>
      </c>
      <c r="H5" s="106">
        <v>28</v>
      </c>
      <c r="I5" s="109">
        <f t="shared" si="2"/>
        <v>22.26</v>
      </c>
      <c r="J5" s="110">
        <f t="shared" si="0"/>
        <v>1.7808000000000002</v>
      </c>
      <c r="K5" s="111">
        <v>33.85</v>
      </c>
      <c r="L5" s="17">
        <v>80</v>
      </c>
      <c r="N5" s="120">
        <v>8.35</v>
      </c>
      <c r="O5" s="120">
        <v>8.35</v>
      </c>
      <c r="P5" s="120">
        <v>9</v>
      </c>
    </row>
    <row r="6" spans="1:17" x14ac:dyDescent="0.25">
      <c r="A6" s="108" t="s">
        <v>206</v>
      </c>
      <c r="B6" s="106">
        <v>100</v>
      </c>
      <c r="C6" s="106">
        <v>1325</v>
      </c>
      <c r="D6" s="106">
        <v>600</v>
      </c>
      <c r="E6" s="106">
        <v>1300</v>
      </c>
      <c r="F6" s="106">
        <v>575</v>
      </c>
      <c r="G6" s="15">
        <f t="shared" si="1"/>
        <v>0.79500000000000004</v>
      </c>
      <c r="H6" s="106">
        <v>22</v>
      </c>
      <c r="I6" s="109">
        <f t="shared" si="2"/>
        <v>17.489999999999998</v>
      </c>
      <c r="J6" s="110">
        <f t="shared" si="0"/>
        <v>1.7489999999999997</v>
      </c>
      <c r="K6" s="111">
        <v>42.31</v>
      </c>
      <c r="L6" s="17">
        <v>100</v>
      </c>
      <c r="N6" s="120">
        <v>8.35</v>
      </c>
      <c r="O6" s="120">
        <v>8.35</v>
      </c>
      <c r="P6" s="120">
        <v>9</v>
      </c>
      <c r="Q6" s="19"/>
    </row>
    <row r="7" spans="1:17" x14ac:dyDescent="0.25">
      <c r="A7" s="108" t="s">
        <v>177</v>
      </c>
      <c r="B7" s="106">
        <v>40</v>
      </c>
      <c r="C7" s="106">
        <v>2800</v>
      </c>
      <c r="D7" s="106">
        <v>1250</v>
      </c>
      <c r="E7" s="108">
        <f>C7</f>
        <v>2800</v>
      </c>
      <c r="F7" s="108">
        <f>D7</f>
        <v>1250</v>
      </c>
      <c r="G7" s="15">
        <f t="shared" si="1"/>
        <v>3.5</v>
      </c>
      <c r="H7" s="106">
        <v>28</v>
      </c>
      <c r="I7" s="109">
        <f t="shared" si="2"/>
        <v>98</v>
      </c>
      <c r="J7" s="110">
        <f t="shared" si="0"/>
        <v>3.92</v>
      </c>
      <c r="K7" s="112">
        <v>16.920000000000002</v>
      </c>
      <c r="L7" s="17">
        <v>40</v>
      </c>
      <c r="N7" s="120">
        <v>8.35</v>
      </c>
      <c r="O7" s="120">
        <v>8.35</v>
      </c>
      <c r="P7" s="120">
        <v>9</v>
      </c>
      <c r="Q7" s="19"/>
    </row>
    <row r="8" spans="1:17" x14ac:dyDescent="0.25">
      <c r="A8" s="108" t="s">
        <v>178</v>
      </c>
      <c r="B8" s="106">
        <v>60</v>
      </c>
      <c r="C8" s="106">
        <v>2800</v>
      </c>
      <c r="D8" s="106">
        <v>1250</v>
      </c>
      <c r="E8" s="108">
        <f>C8</f>
        <v>2800</v>
      </c>
      <c r="F8" s="108">
        <f>D8</f>
        <v>1250</v>
      </c>
      <c r="G8" s="15">
        <f t="shared" si="1"/>
        <v>3.5</v>
      </c>
      <c r="H8" s="106">
        <v>19</v>
      </c>
      <c r="I8" s="109">
        <f t="shared" si="2"/>
        <v>66.5</v>
      </c>
      <c r="J8" s="110">
        <f t="shared" si="0"/>
        <v>3.99</v>
      </c>
      <c r="K8" s="112">
        <v>25.38</v>
      </c>
      <c r="L8" s="17">
        <v>60</v>
      </c>
      <c r="N8" s="120">
        <v>8.35</v>
      </c>
      <c r="O8" s="120">
        <v>8.35</v>
      </c>
      <c r="P8" s="120">
        <v>9</v>
      </c>
      <c r="Q8" s="19"/>
    </row>
    <row r="9" spans="1:17" x14ac:dyDescent="0.25">
      <c r="A9" s="13" t="s">
        <v>179</v>
      </c>
      <c r="B9" s="11">
        <v>60</v>
      </c>
      <c r="C9" s="11">
        <v>1325</v>
      </c>
      <c r="D9" s="11">
        <v>600</v>
      </c>
      <c r="E9" s="11">
        <v>1300</v>
      </c>
      <c r="F9" s="11">
        <v>575</v>
      </c>
      <c r="G9" s="15">
        <f t="shared" si="1"/>
        <v>0.79500000000000004</v>
      </c>
      <c r="H9" s="11">
        <v>38</v>
      </c>
      <c r="I9" s="109">
        <f t="shared" si="2"/>
        <v>30.21</v>
      </c>
      <c r="J9" s="14">
        <f t="shared" ref="J9:J39" si="3">I9*L9/1000</f>
        <v>1.8126000000000002</v>
      </c>
      <c r="K9" s="111">
        <v>24.23</v>
      </c>
      <c r="L9" s="17">
        <v>60</v>
      </c>
      <c r="N9" s="120">
        <v>8.35</v>
      </c>
      <c r="O9" s="120">
        <v>8.35</v>
      </c>
      <c r="P9" s="120">
        <v>9</v>
      </c>
      <c r="Q9" s="19"/>
    </row>
    <row r="10" spans="1:17" x14ac:dyDescent="0.25">
      <c r="A10" s="13" t="s">
        <v>180</v>
      </c>
      <c r="B10" s="11">
        <v>60</v>
      </c>
      <c r="C10" s="11">
        <v>1325</v>
      </c>
      <c r="D10" s="11">
        <v>600</v>
      </c>
      <c r="E10" s="11">
        <v>1300</v>
      </c>
      <c r="F10" s="11">
        <v>575</v>
      </c>
      <c r="G10" s="15">
        <f t="shared" si="1"/>
        <v>0.79500000000000004</v>
      </c>
      <c r="H10" s="11">
        <v>38</v>
      </c>
      <c r="I10" s="109">
        <f t="shared" si="2"/>
        <v>30.21</v>
      </c>
      <c r="J10" s="14">
        <f t="shared" si="3"/>
        <v>1.8126000000000002</v>
      </c>
      <c r="K10" s="111">
        <v>21.35</v>
      </c>
      <c r="L10" s="17">
        <v>60</v>
      </c>
      <c r="N10" s="120">
        <v>8.35</v>
      </c>
      <c r="O10" s="120">
        <v>8.35</v>
      </c>
      <c r="P10" s="120">
        <v>12.52</v>
      </c>
      <c r="Q10" s="19"/>
    </row>
    <row r="11" spans="1:17" x14ac:dyDescent="0.25">
      <c r="A11" s="13" t="s">
        <v>181</v>
      </c>
      <c r="B11" s="11">
        <v>80</v>
      </c>
      <c r="C11" s="11">
        <v>1325</v>
      </c>
      <c r="D11" s="11">
        <v>600</v>
      </c>
      <c r="E11" s="11">
        <v>1300</v>
      </c>
      <c r="F11" s="11">
        <v>575</v>
      </c>
      <c r="G11" s="15">
        <f t="shared" si="1"/>
        <v>0.79500000000000004</v>
      </c>
      <c r="H11" s="11">
        <v>28</v>
      </c>
      <c r="I11" s="109">
        <f t="shared" si="2"/>
        <v>22.26</v>
      </c>
      <c r="J11" s="14">
        <f t="shared" si="3"/>
        <v>1.7808000000000002</v>
      </c>
      <c r="K11" s="111">
        <v>28.46</v>
      </c>
      <c r="L11" s="17">
        <v>80</v>
      </c>
      <c r="N11" s="120">
        <v>8.35</v>
      </c>
      <c r="O11" s="120">
        <v>8.35</v>
      </c>
      <c r="P11" s="120">
        <v>12.52</v>
      </c>
      <c r="Q11" s="19"/>
    </row>
    <row r="12" spans="1:17" x14ac:dyDescent="0.25">
      <c r="A12" s="13" t="s">
        <v>182</v>
      </c>
      <c r="B12" s="11">
        <v>100</v>
      </c>
      <c r="C12" s="11">
        <v>1325</v>
      </c>
      <c r="D12" s="11">
        <v>600</v>
      </c>
      <c r="E12" s="11">
        <v>1300</v>
      </c>
      <c r="F12" s="11">
        <v>575</v>
      </c>
      <c r="G12" s="15">
        <f t="shared" si="1"/>
        <v>0.79500000000000004</v>
      </c>
      <c r="H12" s="11">
        <v>22</v>
      </c>
      <c r="I12" s="109">
        <f t="shared" si="2"/>
        <v>17.489999999999998</v>
      </c>
      <c r="J12" s="14">
        <f t="shared" si="3"/>
        <v>1.7489999999999997</v>
      </c>
      <c r="K12" s="111">
        <v>35.58</v>
      </c>
      <c r="L12" s="17">
        <v>100</v>
      </c>
      <c r="N12" s="120">
        <v>8.35</v>
      </c>
      <c r="O12" s="120">
        <v>8.35</v>
      </c>
      <c r="P12" s="120">
        <v>12.52</v>
      </c>
      <c r="Q12" s="19"/>
    </row>
    <row r="13" spans="1:17" x14ac:dyDescent="0.25">
      <c r="A13" s="13" t="s">
        <v>183</v>
      </c>
      <c r="B13" s="11">
        <v>120</v>
      </c>
      <c r="C13" s="11">
        <v>1325</v>
      </c>
      <c r="D13" s="11">
        <v>600</v>
      </c>
      <c r="E13" s="11">
        <v>1300</v>
      </c>
      <c r="F13" s="11">
        <v>575</v>
      </c>
      <c r="G13" s="15">
        <f t="shared" si="1"/>
        <v>0.79500000000000004</v>
      </c>
      <c r="H13" s="11">
        <v>18</v>
      </c>
      <c r="I13" s="109">
        <f t="shared" si="2"/>
        <v>14.31</v>
      </c>
      <c r="J13" s="14">
        <f t="shared" si="3"/>
        <v>1.7172000000000001</v>
      </c>
      <c r="K13" s="111">
        <v>42.69</v>
      </c>
      <c r="L13" s="17">
        <v>120</v>
      </c>
      <c r="N13" s="120">
        <v>8.35</v>
      </c>
      <c r="O13" s="120">
        <v>8.35</v>
      </c>
      <c r="P13" s="120">
        <v>12.52</v>
      </c>
      <c r="Q13" s="19"/>
    </row>
    <row r="14" spans="1:17" x14ac:dyDescent="0.25">
      <c r="A14" s="13" t="s">
        <v>184</v>
      </c>
      <c r="B14" s="11">
        <v>140</v>
      </c>
      <c r="C14" s="11">
        <v>1325</v>
      </c>
      <c r="D14" s="11">
        <v>600</v>
      </c>
      <c r="E14" s="11">
        <v>1300</v>
      </c>
      <c r="F14" s="11">
        <v>575</v>
      </c>
      <c r="G14" s="15">
        <f t="shared" si="1"/>
        <v>0.79500000000000004</v>
      </c>
      <c r="H14" s="11">
        <v>16</v>
      </c>
      <c r="I14" s="109">
        <f>H14*C14*D14/1000000</f>
        <v>12.72</v>
      </c>
      <c r="J14" s="14">
        <f t="shared" si="3"/>
        <v>1.7808000000000002</v>
      </c>
      <c r="K14" s="111">
        <v>49.81</v>
      </c>
      <c r="L14" s="17">
        <v>140</v>
      </c>
      <c r="N14" s="120">
        <v>8.35</v>
      </c>
      <c r="O14" s="120">
        <v>8.35</v>
      </c>
      <c r="P14" s="120">
        <v>12.52</v>
      </c>
      <c r="Q14" s="19"/>
    </row>
    <row r="15" spans="1:17" x14ac:dyDescent="0.25">
      <c r="A15" s="13" t="s">
        <v>185</v>
      </c>
      <c r="B15" s="11">
        <v>160</v>
      </c>
      <c r="C15" s="11">
        <v>1325</v>
      </c>
      <c r="D15" s="11">
        <v>600</v>
      </c>
      <c r="E15" s="11">
        <v>1300</v>
      </c>
      <c r="F15" s="11">
        <v>575</v>
      </c>
      <c r="G15" s="15">
        <f t="shared" si="1"/>
        <v>0.79500000000000004</v>
      </c>
      <c r="H15" s="11">
        <v>14</v>
      </c>
      <c r="I15" s="109">
        <f t="shared" si="2"/>
        <v>11.13</v>
      </c>
      <c r="J15" s="14">
        <f t="shared" si="3"/>
        <v>1.7808000000000002</v>
      </c>
      <c r="K15" s="111">
        <v>56.92</v>
      </c>
      <c r="L15" s="17">
        <v>160</v>
      </c>
      <c r="N15" s="120">
        <v>8.35</v>
      </c>
      <c r="O15" s="120">
        <v>8.35</v>
      </c>
      <c r="P15" s="120">
        <v>12.52</v>
      </c>
      <c r="Q15" s="19"/>
    </row>
    <row r="16" spans="1:17" x14ac:dyDescent="0.25">
      <c r="A16" s="13" t="s">
        <v>186</v>
      </c>
      <c r="B16" s="11" t="s">
        <v>187</v>
      </c>
      <c r="C16" s="11">
        <v>1325</v>
      </c>
      <c r="D16" s="11">
        <v>600</v>
      </c>
      <c r="E16" s="11">
        <v>1300</v>
      </c>
      <c r="F16" s="11">
        <v>575</v>
      </c>
      <c r="G16" s="15">
        <f t="shared" si="1"/>
        <v>0.79500000000000004</v>
      </c>
      <c r="H16" s="11">
        <v>12</v>
      </c>
      <c r="I16" s="109">
        <f t="shared" si="2"/>
        <v>9.5399999999999991</v>
      </c>
      <c r="J16" s="14">
        <f t="shared" si="3"/>
        <v>1.7171999999999998</v>
      </c>
      <c r="K16" s="112">
        <v>64.040000000000006</v>
      </c>
      <c r="L16" s="17">
        <v>180</v>
      </c>
      <c r="N16" s="120">
        <v>8.35</v>
      </c>
      <c r="O16" s="120">
        <v>8.35</v>
      </c>
      <c r="P16" s="120">
        <v>12.52</v>
      </c>
      <c r="Q16" s="19"/>
    </row>
    <row r="17" spans="1:21" x14ac:dyDescent="0.25">
      <c r="A17" s="13" t="s">
        <v>188</v>
      </c>
      <c r="B17" s="11" t="s">
        <v>44</v>
      </c>
      <c r="C17" s="11">
        <v>1325</v>
      </c>
      <c r="D17" s="11">
        <v>600</v>
      </c>
      <c r="E17" s="11">
        <v>1300</v>
      </c>
      <c r="F17" s="11">
        <v>575</v>
      </c>
      <c r="G17" s="15">
        <f t="shared" si="1"/>
        <v>0.79500000000000004</v>
      </c>
      <c r="H17" s="11">
        <v>12</v>
      </c>
      <c r="I17" s="109">
        <f t="shared" si="2"/>
        <v>9.5399999999999991</v>
      </c>
      <c r="J17" s="14">
        <f t="shared" si="3"/>
        <v>1.9079999999999997</v>
      </c>
      <c r="K17" s="112">
        <v>71.150000000000006</v>
      </c>
      <c r="L17" s="17">
        <v>200</v>
      </c>
      <c r="N17" s="120">
        <v>8.35</v>
      </c>
      <c r="O17" s="120">
        <v>8.35</v>
      </c>
      <c r="P17" s="120">
        <v>12.52</v>
      </c>
      <c r="Q17" s="19"/>
    </row>
    <row r="18" spans="1:21" x14ac:dyDescent="0.25">
      <c r="A18" s="13" t="s">
        <v>189</v>
      </c>
      <c r="B18" s="11" t="s">
        <v>190</v>
      </c>
      <c r="C18" s="11">
        <v>2800</v>
      </c>
      <c r="D18" s="11">
        <v>1250</v>
      </c>
      <c r="E18" s="108">
        <f>C18</f>
        <v>2800</v>
      </c>
      <c r="F18" s="108">
        <f>D18</f>
        <v>1250</v>
      </c>
      <c r="G18" s="15">
        <f t="shared" si="1"/>
        <v>3.5</v>
      </c>
      <c r="H18" s="11">
        <v>28</v>
      </c>
      <c r="I18" s="109">
        <f t="shared" si="2"/>
        <v>98</v>
      </c>
      <c r="J18" s="14">
        <f t="shared" si="3"/>
        <v>3.92</v>
      </c>
      <c r="K18" s="112">
        <v>15.77</v>
      </c>
      <c r="L18" s="17">
        <v>40</v>
      </c>
      <c r="N18" s="120">
        <v>8.35</v>
      </c>
      <c r="O18" s="120">
        <v>8.35</v>
      </c>
      <c r="P18" s="120">
        <v>9</v>
      </c>
      <c r="Q18" s="19"/>
    </row>
    <row r="19" spans="1:21" x14ac:dyDescent="0.25">
      <c r="A19" s="13" t="s">
        <v>191</v>
      </c>
      <c r="B19" s="11" t="s">
        <v>192</v>
      </c>
      <c r="C19" s="11">
        <v>2600</v>
      </c>
      <c r="D19" s="11">
        <v>1250</v>
      </c>
      <c r="E19" s="108">
        <f t="shared" ref="E19:E33" si="4">C19</f>
        <v>2600</v>
      </c>
      <c r="F19" s="108">
        <f t="shared" ref="F19:F33" si="5">D19</f>
        <v>1250</v>
      </c>
      <c r="G19" s="15">
        <f t="shared" si="1"/>
        <v>3.25</v>
      </c>
      <c r="H19" s="11">
        <v>19</v>
      </c>
      <c r="I19" s="109">
        <f t="shared" si="2"/>
        <v>61.75</v>
      </c>
      <c r="J19" s="14">
        <f t="shared" si="3"/>
        <v>3.7050000000000001</v>
      </c>
      <c r="K19" s="112">
        <v>23.65</v>
      </c>
      <c r="L19" s="17">
        <v>60</v>
      </c>
      <c r="N19" s="120">
        <v>8.35</v>
      </c>
      <c r="O19" s="120">
        <v>8.35</v>
      </c>
      <c r="P19" s="120">
        <v>9</v>
      </c>
      <c r="Q19" s="19"/>
    </row>
    <row r="20" spans="1:21" x14ac:dyDescent="0.25">
      <c r="A20" s="13" t="s">
        <v>193</v>
      </c>
      <c r="B20" s="11" t="s">
        <v>192</v>
      </c>
      <c r="C20" s="11">
        <v>2800</v>
      </c>
      <c r="D20" s="11">
        <v>1250</v>
      </c>
      <c r="E20" s="108">
        <f t="shared" si="4"/>
        <v>2800</v>
      </c>
      <c r="F20" s="108">
        <f t="shared" si="5"/>
        <v>1250</v>
      </c>
      <c r="G20" s="15">
        <f t="shared" si="1"/>
        <v>3.5</v>
      </c>
      <c r="H20" s="11">
        <v>19</v>
      </c>
      <c r="I20" s="109">
        <f>H20*C20*D20/1000000</f>
        <v>66.5</v>
      </c>
      <c r="J20" s="14">
        <f t="shared" si="3"/>
        <v>3.99</v>
      </c>
      <c r="K20" s="112">
        <v>23.65</v>
      </c>
      <c r="L20" s="17">
        <v>60</v>
      </c>
      <c r="N20" s="120">
        <v>8.35</v>
      </c>
      <c r="O20" s="120">
        <v>8.35</v>
      </c>
      <c r="P20" s="120">
        <v>9</v>
      </c>
      <c r="Q20" s="19"/>
    </row>
    <row r="21" spans="1:21" x14ac:dyDescent="0.25">
      <c r="A21" s="13" t="s">
        <v>194</v>
      </c>
      <c r="B21" s="11" t="s">
        <v>192</v>
      </c>
      <c r="C21" s="11">
        <v>3000</v>
      </c>
      <c r="D21" s="11">
        <v>1250</v>
      </c>
      <c r="E21" s="108">
        <f t="shared" si="4"/>
        <v>3000</v>
      </c>
      <c r="F21" s="108">
        <f t="shared" si="5"/>
        <v>1250</v>
      </c>
      <c r="G21" s="15">
        <f t="shared" si="1"/>
        <v>3.75</v>
      </c>
      <c r="H21" s="11">
        <v>19</v>
      </c>
      <c r="I21" s="109">
        <f t="shared" si="2"/>
        <v>71.25</v>
      </c>
      <c r="J21" s="14">
        <f t="shared" si="3"/>
        <v>4.2750000000000004</v>
      </c>
      <c r="K21" s="112">
        <v>23.65</v>
      </c>
      <c r="L21" s="17">
        <v>60</v>
      </c>
      <c r="N21" s="120">
        <v>8.35</v>
      </c>
      <c r="O21" s="120">
        <v>8.35</v>
      </c>
      <c r="P21" s="120">
        <v>9</v>
      </c>
      <c r="Q21" s="19"/>
    </row>
    <row r="22" spans="1:21" x14ac:dyDescent="0.25">
      <c r="A22" s="13" t="s">
        <v>195</v>
      </c>
      <c r="B22" s="11" t="s">
        <v>192</v>
      </c>
      <c r="C22" s="11">
        <v>2800</v>
      </c>
      <c r="D22" s="11">
        <v>1250</v>
      </c>
      <c r="E22" s="108">
        <f t="shared" si="4"/>
        <v>2800</v>
      </c>
      <c r="F22" s="108">
        <f t="shared" si="5"/>
        <v>1250</v>
      </c>
      <c r="G22" s="15">
        <f t="shared" si="1"/>
        <v>3.5</v>
      </c>
      <c r="H22" s="11">
        <v>19</v>
      </c>
      <c r="I22" s="109">
        <f t="shared" si="2"/>
        <v>66.5</v>
      </c>
      <c r="J22" s="14">
        <f t="shared" si="3"/>
        <v>3.99</v>
      </c>
      <c r="K22" s="111">
        <v>17.88</v>
      </c>
      <c r="L22" s="17">
        <v>60</v>
      </c>
      <c r="N22" s="120">
        <v>8.35</v>
      </c>
      <c r="O22" s="120">
        <v>8.35</v>
      </c>
      <c r="P22" s="120">
        <v>12.52</v>
      </c>
      <c r="Q22" s="19"/>
    </row>
    <row r="23" spans="1:21" x14ac:dyDescent="0.25">
      <c r="A23" s="13" t="s">
        <v>196</v>
      </c>
      <c r="B23" s="11" t="s">
        <v>197</v>
      </c>
      <c r="C23" s="11">
        <v>2800</v>
      </c>
      <c r="D23" s="11">
        <v>1250</v>
      </c>
      <c r="E23" s="108">
        <f t="shared" si="4"/>
        <v>2800</v>
      </c>
      <c r="F23" s="108">
        <f t="shared" si="5"/>
        <v>1250</v>
      </c>
      <c r="G23" s="15">
        <f t="shared" si="1"/>
        <v>3.5</v>
      </c>
      <c r="H23" s="11">
        <v>14</v>
      </c>
      <c r="I23" s="109">
        <f t="shared" si="2"/>
        <v>49</v>
      </c>
      <c r="J23" s="14">
        <f t="shared" si="3"/>
        <v>3.92</v>
      </c>
      <c r="K23" s="111">
        <v>23.85</v>
      </c>
      <c r="L23" s="17">
        <v>80</v>
      </c>
      <c r="N23" s="120">
        <v>8.35</v>
      </c>
      <c r="O23" s="120">
        <v>8.35</v>
      </c>
      <c r="P23" s="120">
        <v>12.52</v>
      </c>
      <c r="Q23" s="19"/>
    </row>
    <row r="24" spans="1:21" x14ac:dyDescent="0.25">
      <c r="A24" s="13" t="s">
        <v>198</v>
      </c>
      <c r="B24" s="11" t="s">
        <v>42</v>
      </c>
      <c r="C24" s="11">
        <v>2800</v>
      </c>
      <c r="D24" s="11">
        <v>1250</v>
      </c>
      <c r="E24" s="108">
        <f t="shared" si="4"/>
        <v>2800</v>
      </c>
      <c r="F24" s="108">
        <f t="shared" si="5"/>
        <v>1250</v>
      </c>
      <c r="G24" s="15">
        <f t="shared" si="1"/>
        <v>3.5</v>
      </c>
      <c r="H24" s="11">
        <v>11</v>
      </c>
      <c r="I24" s="109">
        <f t="shared" si="2"/>
        <v>38.5</v>
      </c>
      <c r="J24" s="14">
        <f t="shared" si="3"/>
        <v>3.85</v>
      </c>
      <c r="K24" s="111">
        <v>29.81</v>
      </c>
      <c r="L24" s="17">
        <v>100</v>
      </c>
      <c r="N24" s="120">
        <v>8.35</v>
      </c>
      <c r="O24" s="120">
        <v>8.35</v>
      </c>
      <c r="P24" s="120">
        <v>12.52</v>
      </c>
      <c r="Q24" s="19"/>
    </row>
    <row r="25" spans="1:21" x14ac:dyDescent="0.25">
      <c r="A25" s="13" t="s">
        <v>199</v>
      </c>
      <c r="B25" s="11" t="s">
        <v>43</v>
      </c>
      <c r="C25" s="11">
        <v>2800</v>
      </c>
      <c r="D25" s="11">
        <v>1250</v>
      </c>
      <c r="E25" s="108">
        <f t="shared" si="4"/>
        <v>2800</v>
      </c>
      <c r="F25" s="108">
        <f t="shared" si="5"/>
        <v>1250</v>
      </c>
      <c r="G25" s="15">
        <f t="shared" si="1"/>
        <v>3.5</v>
      </c>
      <c r="H25" s="11">
        <v>9</v>
      </c>
      <c r="I25" s="109">
        <f t="shared" si="2"/>
        <v>31.5</v>
      </c>
      <c r="J25" s="14">
        <f t="shared" si="3"/>
        <v>3.78</v>
      </c>
      <c r="K25" s="112">
        <v>35.770000000000003</v>
      </c>
      <c r="L25" s="17">
        <v>120</v>
      </c>
      <c r="N25" s="120">
        <v>8.35</v>
      </c>
      <c r="O25" s="120">
        <v>8.35</v>
      </c>
      <c r="P25" s="120">
        <v>12.52</v>
      </c>
      <c r="Q25" s="19"/>
    </row>
    <row r="26" spans="1:21" x14ac:dyDescent="0.25">
      <c r="A26" s="13" t="s">
        <v>200</v>
      </c>
      <c r="B26" s="11" t="s">
        <v>201</v>
      </c>
      <c r="C26" s="11">
        <v>2800</v>
      </c>
      <c r="D26" s="11">
        <v>1250</v>
      </c>
      <c r="E26" s="108">
        <f t="shared" si="4"/>
        <v>2800</v>
      </c>
      <c r="F26" s="108">
        <f t="shared" si="5"/>
        <v>1250</v>
      </c>
      <c r="G26" s="15">
        <f t="shared" si="1"/>
        <v>3.5</v>
      </c>
      <c r="H26" s="11">
        <v>8</v>
      </c>
      <c r="I26" s="109">
        <f t="shared" si="2"/>
        <v>28</v>
      </c>
      <c r="J26" s="14">
        <f t="shared" si="3"/>
        <v>3.92</v>
      </c>
      <c r="K26" s="112">
        <v>41.73</v>
      </c>
      <c r="L26" s="17">
        <v>140</v>
      </c>
      <c r="N26" s="120">
        <v>8.35</v>
      </c>
      <c r="O26" s="120">
        <v>8.35</v>
      </c>
      <c r="P26" s="120">
        <v>12.52</v>
      </c>
      <c r="Q26" s="19"/>
    </row>
    <row r="27" spans="1:21" ht="15.75" thickBot="1" x14ac:dyDescent="0.3">
      <c r="A27" s="213" t="s">
        <v>202</v>
      </c>
      <c r="B27" s="214" t="s">
        <v>203</v>
      </c>
      <c r="C27" s="214">
        <v>2800</v>
      </c>
      <c r="D27" s="214">
        <v>1250</v>
      </c>
      <c r="E27" s="215">
        <f t="shared" si="4"/>
        <v>2800</v>
      </c>
      <c r="F27" s="215">
        <f t="shared" si="5"/>
        <v>1250</v>
      </c>
      <c r="G27" s="216">
        <f t="shared" si="1"/>
        <v>3.5</v>
      </c>
      <c r="H27" s="214">
        <v>7</v>
      </c>
      <c r="I27" s="217">
        <f t="shared" si="2"/>
        <v>24.5</v>
      </c>
      <c r="J27" s="218">
        <f t="shared" si="3"/>
        <v>3.92</v>
      </c>
      <c r="K27" s="219">
        <v>47.69</v>
      </c>
      <c r="L27" s="220">
        <v>160</v>
      </c>
      <c r="M27" s="221"/>
      <c r="N27" s="222">
        <v>8.35</v>
      </c>
      <c r="O27" s="222">
        <v>8.35</v>
      </c>
      <c r="P27" s="222">
        <v>12.52</v>
      </c>
      <c r="Q27" s="19"/>
    </row>
    <row r="28" spans="1:21" x14ac:dyDescent="0.25">
      <c r="A28" s="183" t="s">
        <v>105</v>
      </c>
      <c r="B28" s="207">
        <v>140</v>
      </c>
      <c r="C28" s="207">
        <v>600</v>
      </c>
      <c r="D28" s="207">
        <v>400</v>
      </c>
      <c r="E28" s="181">
        <f t="shared" si="4"/>
        <v>600</v>
      </c>
      <c r="F28" s="181">
        <f t="shared" si="5"/>
        <v>400</v>
      </c>
      <c r="G28" s="208">
        <f t="shared" si="1"/>
        <v>0.24</v>
      </c>
      <c r="H28" s="207">
        <v>32</v>
      </c>
      <c r="I28" s="209">
        <f t="shared" si="2"/>
        <v>7.68</v>
      </c>
      <c r="J28" s="210">
        <f t="shared" si="3"/>
        <v>1.0752000000000002</v>
      </c>
      <c r="K28" s="187">
        <v>40.380000000000003</v>
      </c>
      <c r="L28" s="211">
        <v>140</v>
      </c>
      <c r="N28" s="212">
        <v>12.5</v>
      </c>
      <c r="O28" s="212">
        <v>12.5</v>
      </c>
      <c r="P28" s="212">
        <v>16.670000000000002</v>
      </c>
      <c r="Q28" s="19"/>
    </row>
    <row r="29" spans="1:21" x14ac:dyDescent="0.25">
      <c r="A29" s="13" t="s">
        <v>106</v>
      </c>
      <c r="B29" s="11">
        <v>160</v>
      </c>
      <c r="C29" s="11">
        <v>600</v>
      </c>
      <c r="D29" s="11">
        <v>400</v>
      </c>
      <c r="E29" s="108">
        <f t="shared" si="4"/>
        <v>600</v>
      </c>
      <c r="F29" s="108">
        <f t="shared" si="5"/>
        <v>400</v>
      </c>
      <c r="G29" s="15">
        <f t="shared" si="1"/>
        <v>0.24</v>
      </c>
      <c r="H29" s="11">
        <v>28</v>
      </c>
      <c r="I29" s="109">
        <f t="shared" si="2"/>
        <v>6.72</v>
      </c>
      <c r="J29" s="14">
        <f t="shared" si="3"/>
        <v>1.0752000000000002</v>
      </c>
      <c r="K29" s="113">
        <v>46.15</v>
      </c>
      <c r="L29" s="17">
        <v>160</v>
      </c>
      <c r="N29" s="120">
        <v>12.5</v>
      </c>
      <c r="O29" s="120">
        <v>12.5</v>
      </c>
      <c r="P29" s="120">
        <v>16.670000000000002</v>
      </c>
      <c r="Q29" s="19"/>
      <c r="T29" s="1"/>
      <c r="U29" s="1"/>
    </row>
    <row r="30" spans="1:21" x14ac:dyDescent="0.25">
      <c r="A30" s="13" t="s">
        <v>107</v>
      </c>
      <c r="B30" s="11">
        <v>180</v>
      </c>
      <c r="C30" s="11">
        <v>600</v>
      </c>
      <c r="D30" s="11">
        <v>400</v>
      </c>
      <c r="E30" s="108">
        <f t="shared" si="4"/>
        <v>600</v>
      </c>
      <c r="F30" s="108">
        <f t="shared" si="5"/>
        <v>400</v>
      </c>
      <c r="G30" s="15">
        <f t="shared" si="1"/>
        <v>0.24</v>
      </c>
      <c r="H30" s="11">
        <v>24</v>
      </c>
      <c r="I30" s="109">
        <f>H30*C30*D30/1000000</f>
        <v>5.76</v>
      </c>
      <c r="J30" s="14">
        <f t="shared" si="3"/>
        <v>1.0367999999999999</v>
      </c>
      <c r="K30" s="113">
        <v>51.92</v>
      </c>
      <c r="L30" s="17">
        <v>180</v>
      </c>
      <c r="N30" s="120">
        <v>12.5</v>
      </c>
      <c r="O30" s="120">
        <v>12.5</v>
      </c>
      <c r="P30" s="120">
        <v>16.670000000000002</v>
      </c>
      <c r="Q30" s="19"/>
      <c r="T30" s="1"/>
      <c r="U30" s="1"/>
    </row>
    <row r="31" spans="1:21" x14ac:dyDescent="0.25">
      <c r="A31" s="13" t="s">
        <v>108</v>
      </c>
      <c r="B31" s="11">
        <v>200</v>
      </c>
      <c r="C31" s="11">
        <v>600</v>
      </c>
      <c r="D31" s="11">
        <v>400</v>
      </c>
      <c r="E31" s="108">
        <f t="shared" si="4"/>
        <v>600</v>
      </c>
      <c r="F31" s="108">
        <f t="shared" si="5"/>
        <v>400</v>
      </c>
      <c r="G31" s="15">
        <f t="shared" si="1"/>
        <v>0.24</v>
      </c>
      <c r="H31" s="11">
        <v>24</v>
      </c>
      <c r="I31" s="109">
        <f t="shared" si="2"/>
        <v>5.76</v>
      </c>
      <c r="J31" s="14">
        <f t="shared" si="3"/>
        <v>1.1519999999999999</v>
      </c>
      <c r="K31" s="113">
        <v>57.69</v>
      </c>
      <c r="L31" s="17">
        <v>200</v>
      </c>
      <c r="N31" s="120">
        <v>12.5</v>
      </c>
      <c r="O31" s="120">
        <v>12.5</v>
      </c>
      <c r="P31" s="120">
        <v>16.670000000000002</v>
      </c>
      <c r="Q31" s="19"/>
      <c r="T31" s="1"/>
      <c r="U31" s="1"/>
    </row>
    <row r="32" spans="1:21" x14ac:dyDescent="0.25">
      <c r="A32" s="13" t="s">
        <v>70</v>
      </c>
      <c r="B32" s="11" t="s">
        <v>42</v>
      </c>
      <c r="C32" s="11">
        <v>1200</v>
      </c>
      <c r="D32" s="11">
        <v>400</v>
      </c>
      <c r="E32" s="108">
        <f t="shared" si="4"/>
        <v>1200</v>
      </c>
      <c r="F32" s="108">
        <f t="shared" si="5"/>
        <v>400</v>
      </c>
      <c r="G32" s="15">
        <f t="shared" si="1"/>
        <v>0.48</v>
      </c>
      <c r="H32" s="11">
        <v>22</v>
      </c>
      <c r="I32" s="109">
        <f t="shared" si="2"/>
        <v>10.56</v>
      </c>
      <c r="J32" s="14">
        <f t="shared" si="3"/>
        <v>1.056</v>
      </c>
      <c r="K32" s="113">
        <v>28.85</v>
      </c>
      <c r="L32" s="17">
        <v>100</v>
      </c>
      <c r="N32" s="120">
        <v>10.4</v>
      </c>
      <c r="O32" s="120">
        <v>10.4</v>
      </c>
      <c r="P32" s="120">
        <v>12.5</v>
      </c>
      <c r="Q32" s="19"/>
    </row>
    <row r="33" spans="1:17" x14ac:dyDescent="0.25">
      <c r="A33" s="13" t="s">
        <v>71</v>
      </c>
      <c r="B33" s="11" t="s">
        <v>43</v>
      </c>
      <c r="C33" s="11">
        <v>1200</v>
      </c>
      <c r="D33" s="11">
        <v>400</v>
      </c>
      <c r="E33" s="108">
        <f t="shared" si="4"/>
        <v>1200</v>
      </c>
      <c r="F33" s="108">
        <f t="shared" si="5"/>
        <v>400</v>
      </c>
      <c r="G33" s="15">
        <f t="shared" si="1"/>
        <v>0.48</v>
      </c>
      <c r="H33" s="11">
        <v>18</v>
      </c>
      <c r="I33" s="109">
        <f t="shared" si="2"/>
        <v>8.64</v>
      </c>
      <c r="J33" s="14">
        <f t="shared" si="3"/>
        <v>1.0368000000000002</v>
      </c>
      <c r="K33" s="113">
        <v>34.619999999999997</v>
      </c>
      <c r="L33" s="17">
        <v>120</v>
      </c>
      <c r="N33" s="120">
        <v>10.4</v>
      </c>
      <c r="O33" s="120">
        <v>10.4</v>
      </c>
      <c r="P33" s="120">
        <v>12.5</v>
      </c>
      <c r="Q33" s="19"/>
    </row>
    <row r="34" spans="1:17" x14ac:dyDescent="0.25">
      <c r="A34" s="13" t="s">
        <v>47</v>
      </c>
      <c r="B34" s="11">
        <v>140</v>
      </c>
      <c r="C34" s="11">
        <v>1200</v>
      </c>
      <c r="D34" s="11">
        <v>400</v>
      </c>
      <c r="E34" s="108">
        <f>C34</f>
        <v>1200</v>
      </c>
      <c r="F34" s="108">
        <f>D34</f>
        <v>400</v>
      </c>
      <c r="G34" s="15">
        <f t="shared" si="1"/>
        <v>0.48</v>
      </c>
      <c r="H34" s="11">
        <v>16</v>
      </c>
      <c r="I34" s="109">
        <f t="shared" si="2"/>
        <v>7.68</v>
      </c>
      <c r="J34" s="14">
        <f t="shared" si="3"/>
        <v>1.0752000000000002</v>
      </c>
      <c r="K34" s="113">
        <v>40.380000000000003</v>
      </c>
      <c r="L34" s="17">
        <v>140</v>
      </c>
      <c r="N34" s="120">
        <v>10.4</v>
      </c>
      <c r="O34" s="120">
        <v>10.4</v>
      </c>
      <c r="P34" s="120">
        <v>12.5</v>
      </c>
      <c r="Q34" s="19"/>
    </row>
    <row r="35" spans="1:17" x14ac:dyDescent="0.25">
      <c r="A35" s="13" t="s">
        <v>48</v>
      </c>
      <c r="B35" s="11">
        <v>160</v>
      </c>
      <c r="C35" s="11">
        <v>1200</v>
      </c>
      <c r="D35" s="11">
        <v>400</v>
      </c>
      <c r="E35" s="108">
        <f t="shared" ref="E35:E39" si="6">C35</f>
        <v>1200</v>
      </c>
      <c r="F35" s="108">
        <f t="shared" ref="F35:F39" si="7">D35</f>
        <v>400</v>
      </c>
      <c r="G35" s="15">
        <f t="shared" si="1"/>
        <v>0.48</v>
      </c>
      <c r="H35" s="11">
        <v>14</v>
      </c>
      <c r="I35" s="109">
        <f t="shared" si="2"/>
        <v>6.72</v>
      </c>
      <c r="J35" s="14">
        <f t="shared" si="3"/>
        <v>1.0752000000000002</v>
      </c>
      <c r="K35" s="113">
        <v>46.15</v>
      </c>
      <c r="L35" s="17">
        <v>160</v>
      </c>
      <c r="N35" s="120">
        <v>10.4</v>
      </c>
      <c r="O35" s="120">
        <v>10.4</v>
      </c>
      <c r="P35" s="120">
        <v>12.5</v>
      </c>
      <c r="Q35" s="19"/>
    </row>
    <row r="36" spans="1:17" x14ac:dyDescent="0.25">
      <c r="A36" s="13" t="s">
        <v>49</v>
      </c>
      <c r="B36" s="11">
        <v>180</v>
      </c>
      <c r="C36" s="11">
        <v>1200</v>
      </c>
      <c r="D36" s="11">
        <v>400</v>
      </c>
      <c r="E36" s="108">
        <f t="shared" si="6"/>
        <v>1200</v>
      </c>
      <c r="F36" s="108">
        <f t="shared" si="7"/>
        <v>400</v>
      </c>
      <c r="G36" s="15">
        <f t="shared" si="1"/>
        <v>0.48</v>
      </c>
      <c r="H36" s="11">
        <v>12</v>
      </c>
      <c r="I36" s="109">
        <f t="shared" si="2"/>
        <v>5.76</v>
      </c>
      <c r="J36" s="14">
        <f t="shared" si="3"/>
        <v>1.0367999999999999</v>
      </c>
      <c r="K36" s="113">
        <v>51.92</v>
      </c>
      <c r="L36" s="17">
        <v>180</v>
      </c>
      <c r="N36" s="120">
        <v>10.4</v>
      </c>
      <c r="O36" s="120">
        <v>10.4</v>
      </c>
      <c r="P36" s="120">
        <v>12.5</v>
      </c>
      <c r="Q36" s="19"/>
    </row>
    <row r="37" spans="1:17" x14ac:dyDescent="0.25">
      <c r="A37" s="13" t="s">
        <v>72</v>
      </c>
      <c r="B37" s="11" t="s">
        <v>44</v>
      </c>
      <c r="C37" s="11">
        <v>1200</v>
      </c>
      <c r="D37" s="11">
        <v>400</v>
      </c>
      <c r="E37" s="108">
        <f t="shared" si="6"/>
        <v>1200</v>
      </c>
      <c r="F37" s="108">
        <f t="shared" si="7"/>
        <v>400</v>
      </c>
      <c r="G37" s="15">
        <f t="shared" si="1"/>
        <v>0.48</v>
      </c>
      <c r="H37" s="11">
        <v>12</v>
      </c>
      <c r="I37" s="109">
        <f t="shared" si="2"/>
        <v>5.76</v>
      </c>
      <c r="J37" s="14">
        <f t="shared" si="3"/>
        <v>1.1519999999999999</v>
      </c>
      <c r="K37" s="113">
        <v>57.69</v>
      </c>
      <c r="L37" s="17">
        <v>200</v>
      </c>
      <c r="N37" s="120">
        <v>10.4</v>
      </c>
      <c r="O37" s="120">
        <v>10.4</v>
      </c>
      <c r="P37" s="120">
        <v>12.5</v>
      </c>
      <c r="Q37" s="19"/>
    </row>
    <row r="38" spans="1:17" x14ac:dyDescent="0.25">
      <c r="A38" s="13" t="s">
        <v>73</v>
      </c>
      <c r="B38" s="11" t="s">
        <v>45</v>
      </c>
      <c r="C38" s="11">
        <v>1200</v>
      </c>
      <c r="D38" s="11">
        <v>400</v>
      </c>
      <c r="E38" s="108">
        <f t="shared" si="6"/>
        <v>1200</v>
      </c>
      <c r="F38" s="108">
        <f t="shared" si="7"/>
        <v>400</v>
      </c>
      <c r="G38" s="15">
        <f t="shared" si="1"/>
        <v>0.48</v>
      </c>
      <c r="H38" s="11">
        <v>10</v>
      </c>
      <c r="I38" s="109">
        <f t="shared" si="2"/>
        <v>4.8</v>
      </c>
      <c r="J38" s="14">
        <f t="shared" si="3"/>
        <v>1.056</v>
      </c>
      <c r="K38" s="113">
        <v>63.46</v>
      </c>
      <c r="L38" s="17">
        <v>220</v>
      </c>
      <c r="N38" s="120">
        <v>10.4</v>
      </c>
      <c r="O38" s="120">
        <v>10.4</v>
      </c>
      <c r="P38" s="120">
        <v>12.5</v>
      </c>
      <c r="Q38" s="19"/>
    </row>
    <row r="39" spans="1:17" ht="15.75" thickBot="1" x14ac:dyDescent="0.3">
      <c r="A39" s="213" t="s">
        <v>74</v>
      </c>
      <c r="B39" s="214" t="s">
        <v>46</v>
      </c>
      <c r="C39" s="214">
        <v>1200</v>
      </c>
      <c r="D39" s="214">
        <v>400</v>
      </c>
      <c r="E39" s="215">
        <f t="shared" si="6"/>
        <v>1200</v>
      </c>
      <c r="F39" s="215">
        <f t="shared" si="7"/>
        <v>400</v>
      </c>
      <c r="G39" s="216">
        <f t="shared" si="1"/>
        <v>0.48</v>
      </c>
      <c r="H39" s="214">
        <v>10</v>
      </c>
      <c r="I39" s="217">
        <f t="shared" si="2"/>
        <v>4.8</v>
      </c>
      <c r="J39" s="218">
        <f t="shared" si="3"/>
        <v>1.1519999999999999</v>
      </c>
      <c r="K39" s="224">
        <v>69.23</v>
      </c>
      <c r="L39" s="220">
        <v>240</v>
      </c>
      <c r="M39" s="221"/>
      <c r="N39" s="222">
        <v>10.4</v>
      </c>
      <c r="O39" s="222">
        <v>10.4</v>
      </c>
      <c r="P39" s="222">
        <v>12.5</v>
      </c>
      <c r="Q39" s="19"/>
    </row>
    <row r="40" spans="1:17" x14ac:dyDescent="0.25">
      <c r="A40" s="183" t="s">
        <v>212</v>
      </c>
      <c r="B40" s="207">
        <v>40</v>
      </c>
      <c r="C40" s="207">
        <v>2230</v>
      </c>
      <c r="D40" s="207">
        <v>600</v>
      </c>
      <c r="E40" s="181">
        <v>2205</v>
      </c>
      <c r="F40" s="181">
        <v>575</v>
      </c>
      <c r="G40" s="208">
        <f t="shared" si="1"/>
        <v>1.3380000000000001</v>
      </c>
      <c r="H40" s="207">
        <v>56</v>
      </c>
      <c r="I40" s="209">
        <f>H40*C40*D40/1000000</f>
        <v>74.927999999999997</v>
      </c>
      <c r="J40" s="210">
        <f t="shared" ref="J40:J43" si="8">I40*B40/1000</f>
        <v>2.9971199999999998</v>
      </c>
      <c r="K40" s="223">
        <v>15.38</v>
      </c>
      <c r="L40" s="211">
        <v>40</v>
      </c>
      <c r="N40" s="212">
        <v>8.35</v>
      </c>
      <c r="O40" s="212">
        <v>8.35</v>
      </c>
      <c r="P40" s="212">
        <v>9</v>
      </c>
      <c r="Q40" s="19"/>
    </row>
    <row r="41" spans="1:17" x14ac:dyDescent="0.25">
      <c r="A41" s="13" t="s">
        <v>204</v>
      </c>
      <c r="B41" s="11">
        <v>40</v>
      </c>
      <c r="C41" s="11">
        <v>2550</v>
      </c>
      <c r="D41" s="11">
        <v>600</v>
      </c>
      <c r="E41" s="108">
        <v>2525</v>
      </c>
      <c r="F41" s="108">
        <v>575</v>
      </c>
      <c r="G41" s="15">
        <f t="shared" si="1"/>
        <v>1.53</v>
      </c>
      <c r="H41" s="11">
        <v>56</v>
      </c>
      <c r="I41" s="109">
        <f t="shared" si="2"/>
        <v>85.68</v>
      </c>
      <c r="J41" s="14">
        <f t="shared" si="8"/>
        <v>3.4272000000000005</v>
      </c>
      <c r="K41" s="112">
        <v>15.38</v>
      </c>
      <c r="L41" s="17">
        <v>40</v>
      </c>
      <c r="N41" s="120">
        <v>8.35</v>
      </c>
      <c r="O41" s="120">
        <v>8.35</v>
      </c>
      <c r="P41" s="120">
        <v>9</v>
      </c>
      <c r="Q41" s="19"/>
    </row>
    <row r="42" spans="1:17" x14ac:dyDescent="0.25">
      <c r="A42" s="13" t="s">
        <v>213</v>
      </c>
      <c r="B42" s="11">
        <v>60</v>
      </c>
      <c r="C42" s="11">
        <v>2230</v>
      </c>
      <c r="D42" s="11">
        <v>600</v>
      </c>
      <c r="E42" s="108">
        <v>2205</v>
      </c>
      <c r="F42" s="108">
        <v>575</v>
      </c>
      <c r="G42" s="15">
        <f t="shared" si="1"/>
        <v>1.3380000000000001</v>
      </c>
      <c r="H42" s="11">
        <v>36</v>
      </c>
      <c r="I42" s="109">
        <f t="shared" si="2"/>
        <v>48.167999999999999</v>
      </c>
      <c r="J42" s="14">
        <f t="shared" si="8"/>
        <v>2.8900799999999998</v>
      </c>
      <c r="K42" s="112">
        <v>23.08</v>
      </c>
      <c r="L42" s="17">
        <v>60</v>
      </c>
      <c r="N42" s="120">
        <v>8.35</v>
      </c>
      <c r="O42" s="120">
        <v>8.35</v>
      </c>
      <c r="P42" s="120">
        <v>9</v>
      </c>
      <c r="Q42" s="19"/>
    </row>
    <row r="43" spans="1:17" x14ac:dyDescent="0.25">
      <c r="A43" s="13" t="s">
        <v>205</v>
      </c>
      <c r="B43" s="11">
        <v>60</v>
      </c>
      <c r="C43" s="11">
        <v>2550</v>
      </c>
      <c r="D43" s="11">
        <v>600</v>
      </c>
      <c r="E43" s="108">
        <v>2525</v>
      </c>
      <c r="F43" s="108">
        <v>575</v>
      </c>
      <c r="G43" s="15">
        <f t="shared" si="1"/>
        <v>1.53</v>
      </c>
      <c r="H43" s="11">
        <v>38</v>
      </c>
      <c r="I43" s="109">
        <f t="shared" si="2"/>
        <v>58.14</v>
      </c>
      <c r="J43" s="14">
        <f t="shared" si="8"/>
        <v>3.4883999999999999</v>
      </c>
      <c r="K43" s="112">
        <v>23.08</v>
      </c>
      <c r="L43" s="17">
        <v>60</v>
      </c>
      <c r="N43" s="120">
        <v>8.35</v>
      </c>
      <c r="O43" s="120">
        <v>8.35</v>
      </c>
      <c r="P43" s="120">
        <v>9</v>
      </c>
      <c r="Q43" s="19"/>
    </row>
    <row r="44" spans="1:17" ht="15.75" thickBot="1" x14ac:dyDescent="0.3">
      <c r="A44" s="226" t="s">
        <v>218</v>
      </c>
      <c r="B44" s="214">
        <v>60</v>
      </c>
      <c r="C44" s="214">
        <v>2550</v>
      </c>
      <c r="D44" s="214">
        <v>1175</v>
      </c>
      <c r="E44" s="215">
        <v>2525</v>
      </c>
      <c r="F44" s="215">
        <v>1150</v>
      </c>
      <c r="G44" s="216">
        <f t="shared" ref="G44:G50" si="9">D44*C44/1000000</f>
        <v>2.9962499999999999</v>
      </c>
      <c r="H44" s="214">
        <v>19</v>
      </c>
      <c r="I44" s="217">
        <f t="shared" ref="I44:I50" si="10">H44*C44*D44/1000000</f>
        <v>56.928750000000001</v>
      </c>
      <c r="J44" s="218">
        <f t="shared" ref="J44:J50" si="11">I44*B44/1000</f>
        <v>3.4157250000000001</v>
      </c>
      <c r="K44" s="219">
        <v>23.08</v>
      </c>
      <c r="L44" s="220">
        <v>60</v>
      </c>
      <c r="M44" s="221"/>
      <c r="N44" s="222">
        <v>8.35</v>
      </c>
      <c r="O44" s="222">
        <v>8.35</v>
      </c>
      <c r="P44" s="222">
        <v>9</v>
      </c>
      <c r="Q44" s="19"/>
    </row>
    <row r="45" spans="1:17" x14ac:dyDescent="0.25">
      <c r="A45" s="225" t="s">
        <v>259</v>
      </c>
      <c r="B45" s="207">
        <v>60</v>
      </c>
      <c r="C45" s="207">
        <v>2230</v>
      </c>
      <c r="D45" s="207">
        <v>600</v>
      </c>
      <c r="E45" s="181">
        <v>2205</v>
      </c>
      <c r="F45" s="181">
        <v>575</v>
      </c>
      <c r="G45" s="208">
        <f t="shared" si="9"/>
        <v>1.3380000000000001</v>
      </c>
      <c r="H45" s="207">
        <v>36</v>
      </c>
      <c r="I45" s="209">
        <f t="shared" si="10"/>
        <v>48.167999999999999</v>
      </c>
      <c r="J45" s="210">
        <f t="shared" si="11"/>
        <v>2.8900799999999998</v>
      </c>
      <c r="K45" s="223">
        <v>19.62</v>
      </c>
      <c r="L45" s="207">
        <v>60</v>
      </c>
      <c r="N45" s="212">
        <v>8.35</v>
      </c>
      <c r="O45" s="212">
        <v>8.35</v>
      </c>
      <c r="P45" s="212">
        <v>9</v>
      </c>
      <c r="Q45" s="19"/>
    </row>
    <row r="46" spans="1:17" x14ac:dyDescent="0.25">
      <c r="A46" s="189" t="s">
        <v>260</v>
      </c>
      <c r="B46" s="11">
        <v>80</v>
      </c>
      <c r="C46" s="11">
        <v>2230</v>
      </c>
      <c r="D46" s="11">
        <v>600</v>
      </c>
      <c r="E46" s="108">
        <v>2205</v>
      </c>
      <c r="F46" s="108">
        <v>575</v>
      </c>
      <c r="G46" s="15">
        <f t="shared" si="9"/>
        <v>1.3380000000000001</v>
      </c>
      <c r="H46" s="11">
        <v>28</v>
      </c>
      <c r="I46" s="109">
        <f t="shared" si="10"/>
        <v>37.463999999999999</v>
      </c>
      <c r="J46" s="14">
        <f t="shared" si="11"/>
        <v>2.9971199999999998</v>
      </c>
      <c r="K46" s="112">
        <v>26.15</v>
      </c>
      <c r="L46" s="11">
        <v>80</v>
      </c>
      <c r="N46" s="120">
        <v>8.35</v>
      </c>
      <c r="O46" s="120">
        <v>8.35</v>
      </c>
      <c r="P46" s="120">
        <v>9</v>
      </c>
      <c r="Q46" s="19"/>
    </row>
    <row r="47" spans="1:17" x14ac:dyDescent="0.25">
      <c r="A47" s="189" t="s">
        <v>261</v>
      </c>
      <c r="B47" s="11">
        <v>100</v>
      </c>
      <c r="C47" s="11">
        <v>2230</v>
      </c>
      <c r="D47" s="11">
        <v>600</v>
      </c>
      <c r="E47" s="108">
        <v>2205</v>
      </c>
      <c r="F47" s="108">
        <v>575</v>
      </c>
      <c r="G47" s="15">
        <f t="shared" si="9"/>
        <v>1.3380000000000001</v>
      </c>
      <c r="H47" s="11">
        <v>22</v>
      </c>
      <c r="I47" s="109">
        <f t="shared" si="10"/>
        <v>29.436</v>
      </c>
      <c r="J47" s="14">
        <f t="shared" si="11"/>
        <v>2.9436</v>
      </c>
      <c r="K47" s="112">
        <v>32.69</v>
      </c>
      <c r="L47" s="11">
        <v>100</v>
      </c>
      <c r="N47" s="120">
        <v>8.35</v>
      </c>
      <c r="O47" s="120">
        <v>8.35</v>
      </c>
      <c r="P47" s="120">
        <v>9</v>
      </c>
      <c r="Q47" s="19"/>
    </row>
    <row r="48" spans="1:17" x14ac:dyDescent="0.25">
      <c r="A48" s="189" t="s">
        <v>262</v>
      </c>
      <c r="B48" s="11">
        <v>120</v>
      </c>
      <c r="C48" s="11">
        <v>1880</v>
      </c>
      <c r="D48" s="11">
        <v>600</v>
      </c>
      <c r="E48" s="108">
        <v>1855</v>
      </c>
      <c r="F48" s="108">
        <v>575</v>
      </c>
      <c r="G48" s="15">
        <f t="shared" si="9"/>
        <v>1.1279999999999999</v>
      </c>
      <c r="H48" s="11">
        <v>18</v>
      </c>
      <c r="I48" s="190">
        <f t="shared" si="10"/>
        <v>20.303999999999998</v>
      </c>
      <c r="J48" s="14">
        <f t="shared" si="11"/>
        <v>2.43648</v>
      </c>
      <c r="K48" s="112">
        <v>39.229999999999997</v>
      </c>
      <c r="L48" s="11">
        <v>120</v>
      </c>
      <c r="N48" s="120">
        <v>8.35</v>
      </c>
      <c r="O48" s="120">
        <v>8.35</v>
      </c>
      <c r="P48" s="120">
        <v>9</v>
      </c>
      <c r="Q48" s="19"/>
    </row>
    <row r="49" spans="1:17" x14ac:dyDescent="0.25">
      <c r="A49" s="189" t="s">
        <v>263</v>
      </c>
      <c r="B49" s="11">
        <v>140</v>
      </c>
      <c r="C49" s="11">
        <v>1880</v>
      </c>
      <c r="D49" s="11">
        <v>600</v>
      </c>
      <c r="E49" s="108">
        <v>1855</v>
      </c>
      <c r="F49" s="108">
        <v>575</v>
      </c>
      <c r="G49" s="15">
        <f t="shared" si="9"/>
        <v>1.1279999999999999</v>
      </c>
      <c r="H49" s="11">
        <v>16</v>
      </c>
      <c r="I49" s="190">
        <f t="shared" si="10"/>
        <v>18.047999999999998</v>
      </c>
      <c r="J49" s="14">
        <f t="shared" si="11"/>
        <v>2.5267199999999996</v>
      </c>
      <c r="K49" s="112">
        <v>45.77</v>
      </c>
      <c r="L49" s="11">
        <v>140</v>
      </c>
      <c r="N49" s="120">
        <v>8.35</v>
      </c>
      <c r="O49" s="120">
        <v>8.35</v>
      </c>
      <c r="P49" s="120">
        <v>9</v>
      </c>
      <c r="Q49" s="19"/>
    </row>
    <row r="50" spans="1:17" ht="15.75" thickBot="1" x14ac:dyDescent="0.3">
      <c r="A50" s="227" t="s">
        <v>264</v>
      </c>
      <c r="B50" s="214">
        <v>160</v>
      </c>
      <c r="C50" s="214">
        <v>1880</v>
      </c>
      <c r="D50" s="214">
        <v>600</v>
      </c>
      <c r="E50" s="215">
        <v>1855</v>
      </c>
      <c r="F50" s="215">
        <v>575</v>
      </c>
      <c r="G50" s="216">
        <f t="shared" si="9"/>
        <v>1.1279999999999999</v>
      </c>
      <c r="H50" s="214">
        <v>14</v>
      </c>
      <c r="I50" s="228">
        <f t="shared" si="10"/>
        <v>15.792</v>
      </c>
      <c r="J50" s="218">
        <f t="shared" si="11"/>
        <v>2.5267199999999996</v>
      </c>
      <c r="K50" s="219">
        <v>52.31</v>
      </c>
      <c r="L50" s="214">
        <v>160</v>
      </c>
      <c r="M50" s="221"/>
      <c r="N50" s="222">
        <v>8.35</v>
      </c>
      <c r="O50" s="222">
        <v>8.35</v>
      </c>
      <c r="P50" s="222">
        <v>9</v>
      </c>
      <c r="Q50" s="19"/>
    </row>
    <row r="51" spans="1:17" x14ac:dyDescent="0.25">
      <c r="A51" s="183" t="s">
        <v>96</v>
      </c>
      <c r="B51" s="184">
        <v>0</v>
      </c>
      <c r="C51" s="185">
        <v>0</v>
      </c>
      <c r="D51" s="185">
        <v>0</v>
      </c>
      <c r="E51" s="184">
        <v>0</v>
      </c>
      <c r="F51" s="184">
        <v>0</v>
      </c>
      <c r="G51" s="186">
        <v>0</v>
      </c>
      <c r="H51" s="185">
        <v>0</v>
      </c>
      <c r="I51" s="182">
        <v>0</v>
      </c>
      <c r="J51" s="182">
        <v>0</v>
      </c>
      <c r="K51" s="187">
        <v>0</v>
      </c>
      <c r="L51" s="181"/>
      <c r="N51" s="188">
        <v>0</v>
      </c>
      <c r="O51" s="188">
        <v>0</v>
      </c>
      <c r="P51" s="188">
        <v>0</v>
      </c>
    </row>
    <row r="52" spans="1:17" x14ac:dyDescent="0.25">
      <c r="B52" s="19"/>
      <c r="C52" s="19"/>
      <c r="D52" s="19"/>
      <c r="E52" s="19"/>
      <c r="F52" s="19"/>
    </row>
    <row r="53" spans="1:17" x14ac:dyDescent="0.25">
      <c r="B53" s="18"/>
      <c r="C53" s="18"/>
      <c r="D53" s="18"/>
      <c r="E53" s="19"/>
      <c r="F53" s="19"/>
      <c r="M53" s="19"/>
    </row>
    <row r="54" spans="1:17" x14ac:dyDescent="0.25">
      <c r="B54" s="18"/>
      <c r="C54" s="18"/>
      <c r="D54" s="18"/>
      <c r="E54" s="19"/>
      <c r="F54" s="19"/>
      <c r="I54"/>
      <c r="J54"/>
      <c r="M54" s="19"/>
    </row>
    <row r="55" spans="1:17" x14ac:dyDescent="0.25">
      <c r="B55" s="18"/>
      <c r="C55" s="18"/>
      <c r="D55" s="18"/>
      <c r="E55" s="19"/>
      <c r="F55" s="19"/>
      <c r="I55"/>
      <c r="J55"/>
      <c r="M55" s="19"/>
    </row>
    <row r="56" spans="1:17" x14ac:dyDescent="0.25">
      <c r="B56" s="18"/>
      <c r="C56" s="18"/>
      <c r="D56" s="18"/>
      <c r="E56" s="19"/>
      <c r="F56" s="19"/>
      <c r="I56"/>
      <c r="J56"/>
      <c r="M56" s="19"/>
    </row>
    <row r="57" spans="1:17" x14ac:dyDescent="0.25">
      <c r="B57" s="18"/>
      <c r="C57" s="18"/>
      <c r="D57" s="18"/>
      <c r="E57" s="19"/>
      <c r="F57" s="19"/>
      <c r="I57"/>
      <c r="J57"/>
      <c r="M57" s="19"/>
    </row>
    <row r="58" spans="1:17" x14ac:dyDescent="0.25">
      <c r="B58" s="18"/>
      <c r="C58" s="18"/>
      <c r="D58" s="18"/>
      <c r="E58" s="19"/>
      <c r="F58" s="19"/>
      <c r="I58"/>
      <c r="J58"/>
      <c r="M58" s="19"/>
    </row>
    <row r="59" spans="1:17" x14ac:dyDescent="0.25">
      <c r="B59" s="18"/>
      <c r="C59" s="18"/>
      <c r="D59" s="18"/>
      <c r="E59" s="19"/>
      <c r="F59" s="19"/>
      <c r="I59"/>
      <c r="J59"/>
      <c r="M59" s="19"/>
    </row>
    <row r="60" spans="1:17" s="3" customFormat="1" x14ac:dyDescent="0.25">
      <c r="B60" s="21"/>
      <c r="C60" s="21"/>
      <c r="D60" s="21"/>
      <c r="E60" s="20"/>
      <c r="F60" s="20"/>
      <c r="M60" s="20"/>
      <c r="N60" s="117"/>
      <c r="O60" s="117"/>
      <c r="P60" s="117"/>
    </row>
    <row r="61" spans="1:17" x14ac:dyDescent="0.25">
      <c r="B61" s="18"/>
      <c r="C61" s="18"/>
      <c r="D61" s="18"/>
      <c r="E61" s="19"/>
      <c r="F61" s="19"/>
      <c r="I61"/>
      <c r="J61"/>
      <c r="M61" s="19"/>
    </row>
    <row r="62" spans="1:17" x14ac:dyDescent="0.25">
      <c r="B62" s="18"/>
      <c r="C62" s="18"/>
      <c r="D62" s="18"/>
      <c r="E62" s="19"/>
      <c r="F62" s="19"/>
      <c r="I62"/>
      <c r="J62"/>
      <c r="M62" s="19"/>
    </row>
    <row r="63" spans="1:17" x14ac:dyDescent="0.25">
      <c r="B63" s="18"/>
      <c r="C63" s="18"/>
      <c r="D63" s="18"/>
      <c r="E63" s="19"/>
      <c r="F63" s="19"/>
      <c r="I63"/>
      <c r="J63"/>
      <c r="M63" s="19"/>
    </row>
    <row r="64" spans="1:17" x14ac:dyDescent="0.25">
      <c r="B64" s="18"/>
      <c r="C64" s="18"/>
      <c r="D64" s="18"/>
      <c r="E64" s="19"/>
      <c r="F64" s="19"/>
      <c r="I64"/>
      <c r="J64"/>
      <c r="M64" s="19"/>
    </row>
    <row r="65" spans="2:16" x14ac:dyDescent="0.25">
      <c r="B65" s="18"/>
      <c r="C65" s="18"/>
      <c r="D65" s="18"/>
      <c r="E65" s="19"/>
      <c r="F65" s="19"/>
      <c r="I65"/>
      <c r="J65"/>
      <c r="M65" s="19"/>
    </row>
    <row r="66" spans="2:16" x14ac:dyDescent="0.25">
      <c r="B66" s="18"/>
      <c r="C66" s="18"/>
      <c r="D66" s="18"/>
      <c r="E66" s="19"/>
      <c r="F66" s="19"/>
      <c r="I66"/>
      <c r="J66"/>
      <c r="M66" s="19"/>
    </row>
    <row r="67" spans="2:16" x14ac:dyDescent="0.25">
      <c r="B67" s="18"/>
      <c r="C67" s="18"/>
      <c r="D67" s="18"/>
      <c r="E67" s="19"/>
      <c r="F67" s="19"/>
      <c r="I67"/>
      <c r="J67"/>
      <c r="M67" s="19"/>
    </row>
    <row r="68" spans="2:16" x14ac:dyDescent="0.25">
      <c r="B68" s="18"/>
      <c r="C68" s="18"/>
      <c r="D68" s="18"/>
      <c r="E68" s="19"/>
      <c r="F68" s="19"/>
      <c r="I68"/>
      <c r="J68"/>
      <c r="M68" s="19"/>
      <c r="N68"/>
      <c r="O68"/>
      <c r="P68"/>
    </row>
    <row r="69" spans="2:16" x14ac:dyDescent="0.25">
      <c r="B69" s="18"/>
      <c r="C69" s="18"/>
      <c r="D69" s="18"/>
      <c r="E69" s="19"/>
      <c r="F69" s="19"/>
      <c r="I69"/>
      <c r="J69"/>
      <c r="M69" s="19"/>
      <c r="N69"/>
      <c r="O69"/>
      <c r="P69"/>
    </row>
    <row r="70" spans="2:16" x14ac:dyDescent="0.25">
      <c r="B70" s="18"/>
      <c r="C70" s="18"/>
      <c r="D70" s="18"/>
      <c r="E70" s="19"/>
      <c r="F70" s="19"/>
      <c r="I70"/>
      <c r="J70"/>
      <c r="M70" s="19"/>
      <c r="N70"/>
      <c r="O70"/>
      <c r="P70"/>
    </row>
    <row r="71" spans="2:16" x14ac:dyDescent="0.25">
      <c r="B71" s="18"/>
      <c r="C71" s="18"/>
      <c r="D71" s="18"/>
      <c r="E71" s="19"/>
      <c r="F71" s="19"/>
      <c r="I71"/>
      <c r="J71"/>
      <c r="M71" s="19"/>
      <c r="N71"/>
      <c r="O71"/>
      <c r="P71"/>
    </row>
    <row r="72" spans="2:16" x14ac:dyDescent="0.25">
      <c r="B72" s="18"/>
      <c r="C72" s="18"/>
      <c r="D72" s="18"/>
      <c r="E72" s="19"/>
      <c r="F72" s="19"/>
      <c r="I72"/>
      <c r="J72"/>
      <c r="M72" s="19"/>
      <c r="N72"/>
      <c r="O72"/>
      <c r="P72"/>
    </row>
    <row r="73" spans="2:16" x14ac:dyDescent="0.25">
      <c r="B73" s="18"/>
      <c r="C73" s="18"/>
      <c r="D73" s="18"/>
      <c r="E73" s="19"/>
      <c r="F73" s="19"/>
      <c r="I73"/>
      <c r="J73"/>
      <c r="M73" s="19"/>
      <c r="N73"/>
      <c r="O73"/>
      <c r="P73"/>
    </row>
    <row r="74" spans="2:16" x14ac:dyDescent="0.25">
      <c r="B74" s="18"/>
      <c r="C74" s="18"/>
      <c r="D74" s="18"/>
      <c r="E74" s="19"/>
      <c r="F74" s="19"/>
      <c r="I74"/>
      <c r="J74"/>
      <c r="M74" s="19"/>
      <c r="N74"/>
      <c r="O74"/>
      <c r="P74"/>
    </row>
    <row r="75" spans="2:16" x14ac:dyDescent="0.25">
      <c r="B75" s="18"/>
      <c r="C75" s="18"/>
      <c r="D75" s="18"/>
      <c r="E75" s="19"/>
      <c r="F75" s="19"/>
      <c r="I75"/>
      <c r="J75"/>
      <c r="M75" s="19"/>
      <c r="N75"/>
      <c r="O75"/>
      <c r="P75"/>
    </row>
    <row r="76" spans="2:16" x14ac:dyDescent="0.25">
      <c r="B76" s="18"/>
      <c r="C76" s="18"/>
      <c r="D76" s="18"/>
      <c r="E76" s="19"/>
      <c r="F76" s="19"/>
      <c r="I76"/>
      <c r="J76"/>
      <c r="M76" s="19"/>
      <c r="N76"/>
      <c r="O76"/>
      <c r="P76"/>
    </row>
    <row r="77" spans="2:16" x14ac:dyDescent="0.25">
      <c r="B77" s="18"/>
      <c r="C77" s="18"/>
      <c r="D77" s="18"/>
      <c r="E77" s="19"/>
      <c r="F77" s="19"/>
      <c r="I77"/>
      <c r="J77"/>
      <c r="M77" s="19"/>
      <c r="N77"/>
      <c r="O77"/>
      <c r="P77"/>
    </row>
    <row r="78" spans="2:16" x14ac:dyDescent="0.25">
      <c r="B78" s="18"/>
      <c r="C78" s="18"/>
      <c r="D78" s="18"/>
      <c r="E78" s="19"/>
      <c r="F78" s="19"/>
      <c r="I78"/>
      <c r="J78"/>
      <c r="M78" s="19"/>
      <c r="N78"/>
      <c r="O78"/>
      <c r="P78"/>
    </row>
    <row r="79" spans="2:16" x14ac:dyDescent="0.25">
      <c r="B79" s="18"/>
      <c r="C79" s="18"/>
      <c r="D79" s="18"/>
      <c r="E79" s="19"/>
      <c r="F79" s="19"/>
      <c r="I79"/>
      <c r="J79"/>
      <c r="M79" s="19"/>
      <c r="N79"/>
      <c r="O79"/>
      <c r="P79"/>
    </row>
    <row r="80" spans="2:16" x14ac:dyDescent="0.25">
      <c r="B80" s="18"/>
      <c r="C80" s="18"/>
      <c r="D80" s="18"/>
      <c r="E80" s="19"/>
      <c r="F80" s="19"/>
      <c r="I80"/>
      <c r="J80"/>
      <c r="M80" s="19"/>
      <c r="N80"/>
      <c r="O80"/>
      <c r="P80"/>
    </row>
    <row r="81" spans="2:16" x14ac:dyDescent="0.25">
      <c r="B81" s="18"/>
      <c r="C81" s="18"/>
      <c r="D81" s="18"/>
      <c r="E81" s="19"/>
      <c r="F81" s="19"/>
      <c r="I81"/>
      <c r="J81"/>
      <c r="M81" s="19"/>
      <c r="N81"/>
      <c r="O81"/>
      <c r="P81"/>
    </row>
    <row r="82" spans="2:16" x14ac:dyDescent="0.25">
      <c r="B82" s="18"/>
      <c r="C82" s="18"/>
      <c r="D82" s="18"/>
      <c r="E82" s="19"/>
      <c r="F82" s="19"/>
      <c r="I82"/>
      <c r="J82"/>
      <c r="M82" s="19"/>
      <c r="N82"/>
      <c r="O82"/>
      <c r="P82"/>
    </row>
    <row r="83" spans="2:16" x14ac:dyDescent="0.25">
      <c r="B83" s="18"/>
      <c r="C83" s="18"/>
      <c r="D83" s="18"/>
      <c r="E83" s="19"/>
      <c r="F83" s="19"/>
      <c r="I83"/>
      <c r="J83"/>
      <c r="M83" s="19"/>
      <c r="N83"/>
      <c r="O83"/>
      <c r="P83"/>
    </row>
    <row r="84" spans="2:16" x14ac:dyDescent="0.25">
      <c r="B84" s="18"/>
      <c r="C84" s="18"/>
      <c r="D84" s="18"/>
      <c r="E84" s="19"/>
      <c r="F84" s="19"/>
      <c r="I84"/>
      <c r="J84"/>
      <c r="M84" s="19"/>
      <c r="N84"/>
      <c r="O84"/>
      <c r="P84"/>
    </row>
    <row r="85" spans="2:16" x14ac:dyDescent="0.25">
      <c r="B85" s="18"/>
      <c r="C85" s="18"/>
      <c r="D85" s="18"/>
      <c r="E85" s="19"/>
      <c r="F85" s="19"/>
      <c r="I85"/>
      <c r="J85"/>
      <c r="M85" s="19"/>
      <c r="N85"/>
      <c r="O85"/>
      <c r="P85"/>
    </row>
    <row r="86" spans="2:16" x14ac:dyDescent="0.25">
      <c r="B86" s="18"/>
      <c r="C86" s="18"/>
      <c r="D86" s="18"/>
      <c r="E86" s="19"/>
      <c r="F86" s="19"/>
      <c r="I86"/>
      <c r="J86"/>
      <c r="M86" s="19"/>
      <c r="N86"/>
      <c r="O86"/>
      <c r="P86"/>
    </row>
    <row r="87" spans="2:16" x14ac:dyDescent="0.25">
      <c r="B87" s="18"/>
      <c r="C87" s="18"/>
      <c r="D87" s="18"/>
      <c r="E87" s="19"/>
      <c r="F87" s="19"/>
      <c r="I87"/>
      <c r="J87"/>
      <c r="M87" s="19"/>
      <c r="N87"/>
      <c r="O87"/>
      <c r="P87"/>
    </row>
    <row r="88" spans="2:16" x14ac:dyDescent="0.25">
      <c r="B88" s="18"/>
      <c r="C88" s="18"/>
      <c r="D88" s="18"/>
      <c r="E88" s="19"/>
      <c r="F88" s="19"/>
      <c r="I88"/>
      <c r="J88"/>
      <c r="M88" s="19"/>
      <c r="N88"/>
      <c r="O88"/>
      <c r="P88"/>
    </row>
    <row r="89" spans="2:16" x14ac:dyDescent="0.25">
      <c r="B89" s="18"/>
      <c r="C89" s="18"/>
      <c r="D89" s="18"/>
      <c r="E89" s="19"/>
      <c r="F89" s="19"/>
      <c r="I89"/>
      <c r="J89"/>
      <c r="M89" s="19"/>
      <c r="N89"/>
      <c r="O89"/>
      <c r="P89"/>
    </row>
    <row r="90" spans="2:16" x14ac:dyDescent="0.25">
      <c r="B90" s="18"/>
      <c r="C90" s="18"/>
      <c r="D90" s="18"/>
      <c r="E90" s="19"/>
      <c r="F90" s="19"/>
      <c r="I90"/>
      <c r="J90"/>
      <c r="M90" s="19"/>
      <c r="N90"/>
      <c r="O90"/>
      <c r="P90"/>
    </row>
    <row r="91" spans="2:16" x14ac:dyDescent="0.25">
      <c r="B91" s="18"/>
      <c r="C91" s="18"/>
      <c r="D91" s="18"/>
      <c r="E91" s="19"/>
      <c r="F91" s="19"/>
      <c r="I91"/>
      <c r="J91"/>
      <c r="M91" s="19"/>
      <c r="N91"/>
      <c r="O91"/>
      <c r="P91"/>
    </row>
    <row r="92" spans="2:16" x14ac:dyDescent="0.25">
      <c r="B92" s="18"/>
      <c r="C92" s="18"/>
      <c r="D92" s="18"/>
      <c r="E92" s="19"/>
      <c r="F92" s="19"/>
      <c r="I92"/>
      <c r="J92"/>
      <c r="M92" s="19"/>
      <c r="N92"/>
      <c r="O92"/>
      <c r="P92"/>
    </row>
    <row r="93" spans="2:16" ht="15" customHeight="1" x14ac:dyDescent="0.25">
      <c r="B93" s="18"/>
      <c r="C93" s="18"/>
      <c r="D93" s="18"/>
      <c r="E93" s="19"/>
      <c r="F93" s="19"/>
      <c r="I93"/>
      <c r="J93"/>
      <c r="M93" s="19"/>
      <c r="N93"/>
      <c r="O93"/>
      <c r="P93"/>
    </row>
    <row r="94" spans="2:16" x14ac:dyDescent="0.25">
      <c r="B94" s="18"/>
      <c r="C94" s="18"/>
      <c r="D94" s="18"/>
      <c r="E94" s="19"/>
      <c r="F94" s="19"/>
      <c r="I94"/>
      <c r="J94"/>
      <c r="M94" s="19"/>
      <c r="N94"/>
      <c r="O94"/>
      <c r="P94"/>
    </row>
    <row r="95" spans="2:16" x14ac:dyDescent="0.25">
      <c r="B95" s="18"/>
      <c r="C95" s="18"/>
      <c r="D95" s="18"/>
      <c r="E95" s="19"/>
      <c r="F95" s="19"/>
      <c r="I95"/>
      <c r="J95"/>
      <c r="M95" s="19"/>
      <c r="N95"/>
      <c r="O95"/>
      <c r="P95"/>
    </row>
    <row r="96" spans="2:16" x14ac:dyDescent="0.25">
      <c r="B96" s="18"/>
      <c r="C96" s="18"/>
      <c r="D96" s="18"/>
      <c r="E96" s="19"/>
      <c r="F96" s="19"/>
      <c r="I96"/>
      <c r="J96"/>
      <c r="M96" s="19"/>
      <c r="N96"/>
      <c r="O96"/>
      <c r="P96"/>
    </row>
    <row r="97" spans="2:16" x14ac:dyDescent="0.25">
      <c r="B97" s="18"/>
      <c r="C97" s="18"/>
      <c r="D97" s="18"/>
      <c r="E97" s="19"/>
      <c r="F97" s="19"/>
      <c r="I97"/>
      <c r="J97"/>
      <c r="M97" s="19"/>
      <c r="N97"/>
      <c r="O97"/>
      <c r="P97"/>
    </row>
    <row r="98" spans="2:16" x14ac:dyDescent="0.25">
      <c r="B98" s="18"/>
      <c r="C98" s="18"/>
      <c r="D98" s="18"/>
      <c r="E98" s="19"/>
      <c r="F98" s="19"/>
      <c r="I98"/>
      <c r="J98"/>
      <c r="M98" s="19"/>
      <c r="N98"/>
      <c r="O98"/>
      <c r="P98"/>
    </row>
    <row r="99" spans="2:16" x14ac:dyDescent="0.25">
      <c r="B99" s="18"/>
      <c r="C99" s="18"/>
      <c r="D99" s="18"/>
      <c r="E99" s="19"/>
      <c r="F99" s="19"/>
      <c r="I99"/>
      <c r="J99"/>
      <c r="M99" s="19"/>
      <c r="N99"/>
      <c r="O99"/>
      <c r="P99"/>
    </row>
    <row r="100" spans="2:16" x14ac:dyDescent="0.25">
      <c r="B100" s="18"/>
      <c r="C100" s="18"/>
      <c r="D100" s="18"/>
      <c r="E100" s="19"/>
      <c r="F100" s="19"/>
      <c r="I100"/>
      <c r="J100"/>
      <c r="M100" s="19"/>
      <c r="N100"/>
      <c r="O100"/>
      <c r="P100"/>
    </row>
    <row r="101" spans="2:16" x14ac:dyDescent="0.25">
      <c r="B101" s="18"/>
      <c r="C101" s="18"/>
      <c r="D101" s="18"/>
      <c r="E101" s="19"/>
      <c r="F101" s="19"/>
      <c r="I101"/>
      <c r="J101"/>
      <c r="M101" s="19"/>
      <c r="N101"/>
      <c r="O101"/>
      <c r="P101"/>
    </row>
    <row r="102" spans="2:16" x14ac:dyDescent="0.25">
      <c r="B102" s="18"/>
      <c r="C102" s="18"/>
      <c r="D102" s="18"/>
      <c r="E102" s="19"/>
      <c r="F102" s="19"/>
      <c r="I102"/>
      <c r="J102"/>
      <c r="M102" s="19"/>
      <c r="N102"/>
      <c r="O102"/>
      <c r="P102"/>
    </row>
    <row r="103" spans="2:16" x14ac:dyDescent="0.25">
      <c r="B103" s="18"/>
      <c r="C103" s="18"/>
      <c r="D103" s="18"/>
      <c r="E103" s="19"/>
      <c r="F103" s="19"/>
      <c r="I103"/>
      <c r="J103"/>
      <c r="M103" s="19"/>
      <c r="N103"/>
      <c r="O103"/>
      <c r="P103"/>
    </row>
    <row r="104" spans="2:16" x14ac:dyDescent="0.25">
      <c r="B104" s="18"/>
      <c r="C104" s="18"/>
      <c r="D104" s="18"/>
      <c r="E104" s="19"/>
      <c r="F104" s="19"/>
      <c r="I104"/>
      <c r="J104"/>
      <c r="M104" s="19"/>
      <c r="N104"/>
      <c r="O104"/>
      <c r="P104"/>
    </row>
    <row r="105" spans="2:16" x14ac:dyDescent="0.25">
      <c r="B105" s="19"/>
      <c r="C105" s="19"/>
      <c r="D105" s="19"/>
      <c r="E105" s="19"/>
      <c r="F105" s="19"/>
      <c r="G105" s="2"/>
      <c r="N105"/>
      <c r="O105"/>
      <c r="P105"/>
    </row>
  </sheetData>
  <autoFilter ref="A1:K51"/>
  <dataConsolidate link="1"/>
  <mergeCells count="2">
    <mergeCell ref="C2:D2"/>
    <mergeCell ref="E2:F2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5"/>
  <sheetViews>
    <sheetView zoomScaleNormal="100" workbookViewId="0">
      <selection activeCell="N34" sqref="N34"/>
    </sheetView>
  </sheetViews>
  <sheetFormatPr baseColWidth="10" defaultRowHeight="15" x14ac:dyDescent="0.25"/>
  <cols>
    <col min="1" max="1" width="72.85546875" bestFit="1" customWidth="1"/>
    <col min="2" max="6" width="6.5703125" bestFit="1" customWidth="1"/>
    <col min="7" max="7" width="9.140625" bestFit="1" customWidth="1"/>
    <col min="8" max="8" width="13.85546875" bestFit="1" customWidth="1"/>
    <col min="9" max="9" width="16.85546875" style="1" bestFit="1" customWidth="1"/>
    <col min="10" max="10" width="10.5703125" style="1" bestFit="1" customWidth="1"/>
    <col min="11" max="11" width="9.5703125" bestFit="1" customWidth="1"/>
    <col min="12" max="12" width="13" bestFit="1" customWidth="1"/>
    <col min="13" max="13" width="4" style="18" bestFit="1" customWidth="1"/>
    <col min="14" max="14" width="9.85546875" style="116" bestFit="1" customWidth="1"/>
    <col min="15" max="16" width="8.85546875" style="116" bestFit="1" customWidth="1"/>
    <col min="17" max="17" width="5.42578125" bestFit="1" customWidth="1"/>
  </cols>
  <sheetData>
    <row r="1" spans="1:17" x14ac:dyDescent="0.25">
      <c r="A1" s="16">
        <v>1</v>
      </c>
      <c r="B1" s="16">
        <v>2</v>
      </c>
      <c r="C1" s="16">
        <v>3</v>
      </c>
      <c r="D1" s="16">
        <v>4</v>
      </c>
      <c r="E1" s="16">
        <v>5</v>
      </c>
      <c r="F1" s="16">
        <v>6</v>
      </c>
      <c r="G1" s="16">
        <v>7</v>
      </c>
      <c r="H1" s="16">
        <v>8</v>
      </c>
      <c r="I1" s="16">
        <v>9</v>
      </c>
      <c r="J1" s="16">
        <v>10</v>
      </c>
      <c r="K1" s="16">
        <v>11</v>
      </c>
      <c r="L1" s="16">
        <v>12</v>
      </c>
      <c r="M1" s="16">
        <v>13</v>
      </c>
      <c r="N1" s="114">
        <v>14</v>
      </c>
      <c r="O1" s="114">
        <v>15</v>
      </c>
      <c r="P1" s="114">
        <v>16</v>
      </c>
      <c r="Q1" s="16"/>
    </row>
    <row r="2" spans="1:17" x14ac:dyDescent="0.25">
      <c r="A2" s="8" t="s">
        <v>34</v>
      </c>
      <c r="B2" s="164" t="s">
        <v>35</v>
      </c>
      <c r="C2" s="234" t="s">
        <v>36</v>
      </c>
      <c r="D2" s="235"/>
      <c r="E2" s="236" t="s">
        <v>37</v>
      </c>
      <c r="F2" s="237"/>
      <c r="G2" s="164" t="s">
        <v>50</v>
      </c>
      <c r="H2" s="164" t="s">
        <v>38</v>
      </c>
      <c r="I2" s="8" t="s">
        <v>226</v>
      </c>
      <c r="J2" s="164" t="s">
        <v>39</v>
      </c>
      <c r="K2" s="164" t="s">
        <v>40</v>
      </c>
      <c r="L2" s="10" t="s">
        <v>41</v>
      </c>
      <c r="M2" s="19"/>
      <c r="N2" s="115" t="s">
        <v>121</v>
      </c>
      <c r="O2" s="115" t="s">
        <v>122</v>
      </c>
      <c r="P2" s="115" t="s">
        <v>123</v>
      </c>
      <c r="Q2" s="164" t="s">
        <v>120</v>
      </c>
    </row>
    <row r="3" spans="1:17" x14ac:dyDescent="0.25">
      <c r="A3" s="13" t="s">
        <v>250</v>
      </c>
      <c r="B3" s="11">
        <v>80</v>
      </c>
      <c r="C3" s="11">
        <v>600</v>
      </c>
      <c r="D3" s="11">
        <v>400</v>
      </c>
      <c r="E3" s="13"/>
      <c r="F3" s="13"/>
      <c r="G3" s="15">
        <f t="shared" ref="G3:G7" si="0">D3*C3/1000000</f>
        <v>0.24</v>
      </c>
      <c r="H3" s="11">
        <v>56</v>
      </c>
      <c r="I3" s="126">
        <f t="shared" ref="I3:I15" si="1">H3*C3*D3/1000000</f>
        <v>13.44</v>
      </c>
      <c r="J3" s="14">
        <f t="shared" ref="J3:J7" si="2">I3*M3/1000</f>
        <v>1.0752000000000002</v>
      </c>
      <c r="K3" s="168">
        <v>23.08</v>
      </c>
      <c r="L3" s="169">
        <f>K3/B3*1000</f>
        <v>288.5</v>
      </c>
      <c r="M3" s="17">
        <v>80</v>
      </c>
      <c r="N3" s="11">
        <v>8.33</v>
      </c>
      <c r="O3" s="11">
        <v>8.33</v>
      </c>
      <c r="P3" s="11">
        <v>13</v>
      </c>
      <c r="Q3" s="168">
        <v>-0.55000000000000004</v>
      </c>
    </row>
    <row r="4" spans="1:17" x14ac:dyDescent="0.25">
      <c r="A4" s="13" t="s">
        <v>105</v>
      </c>
      <c r="B4" s="11">
        <v>140</v>
      </c>
      <c r="C4" s="11">
        <v>600</v>
      </c>
      <c r="D4" s="11">
        <v>400</v>
      </c>
      <c r="E4" s="13"/>
      <c r="F4" s="13"/>
      <c r="G4" s="15">
        <f t="shared" si="0"/>
        <v>0.24</v>
      </c>
      <c r="H4" s="11">
        <v>32</v>
      </c>
      <c r="I4" s="126">
        <f t="shared" si="1"/>
        <v>7.68</v>
      </c>
      <c r="J4" s="14">
        <f t="shared" si="2"/>
        <v>1.0752000000000002</v>
      </c>
      <c r="K4" s="168">
        <v>40.380000000000003</v>
      </c>
      <c r="L4" s="169">
        <f>K4/B4*1000</f>
        <v>288.42857142857144</v>
      </c>
      <c r="M4" s="17">
        <v>140</v>
      </c>
      <c r="N4" s="11">
        <v>8.33</v>
      </c>
      <c r="O4" s="11">
        <v>8.33</v>
      </c>
      <c r="P4" s="11">
        <v>13</v>
      </c>
      <c r="Q4" s="168">
        <v>-1</v>
      </c>
    </row>
    <row r="5" spans="1:17" x14ac:dyDescent="0.25">
      <c r="A5" s="13" t="s">
        <v>106</v>
      </c>
      <c r="B5" s="11">
        <v>160</v>
      </c>
      <c r="C5" s="11">
        <v>600</v>
      </c>
      <c r="D5" s="11">
        <v>400</v>
      </c>
      <c r="E5" s="13"/>
      <c r="F5" s="13"/>
      <c r="G5" s="15">
        <f t="shared" si="0"/>
        <v>0.24</v>
      </c>
      <c r="H5" s="11">
        <v>28</v>
      </c>
      <c r="I5" s="126">
        <f t="shared" si="1"/>
        <v>6.72</v>
      </c>
      <c r="J5" s="14">
        <f t="shared" si="2"/>
        <v>1.0752000000000002</v>
      </c>
      <c r="K5" s="168">
        <v>46.15</v>
      </c>
      <c r="L5" s="169">
        <f>K5/B5*1000</f>
        <v>288.4375</v>
      </c>
      <c r="M5" s="17">
        <v>160</v>
      </c>
      <c r="N5" s="11">
        <v>8.33</v>
      </c>
      <c r="O5" s="11">
        <v>8.33</v>
      </c>
      <c r="P5" s="11">
        <v>13</v>
      </c>
      <c r="Q5" s="168">
        <v>-1.6</v>
      </c>
    </row>
    <row r="6" spans="1:17" x14ac:dyDescent="0.25">
      <c r="A6" s="13" t="s">
        <v>107</v>
      </c>
      <c r="B6" s="11">
        <v>180</v>
      </c>
      <c r="C6" s="11">
        <v>600</v>
      </c>
      <c r="D6" s="11">
        <v>400</v>
      </c>
      <c r="E6" s="13"/>
      <c r="F6" s="13"/>
      <c r="G6" s="15">
        <f t="shared" si="0"/>
        <v>0.24</v>
      </c>
      <c r="H6" s="11">
        <v>24</v>
      </c>
      <c r="I6" s="126">
        <f t="shared" si="1"/>
        <v>5.76</v>
      </c>
      <c r="J6" s="14">
        <f t="shared" si="2"/>
        <v>1.0367999999999999</v>
      </c>
      <c r="K6" s="168">
        <v>51.92</v>
      </c>
      <c r="L6" s="169">
        <f>K6/B6*1000</f>
        <v>288.44444444444446</v>
      </c>
      <c r="M6" s="17">
        <v>180</v>
      </c>
      <c r="N6" s="11">
        <v>8.33</v>
      </c>
      <c r="O6" s="11">
        <v>8.33</v>
      </c>
      <c r="P6" s="11">
        <v>13</v>
      </c>
      <c r="Q6" s="11"/>
    </row>
    <row r="7" spans="1:17" x14ac:dyDescent="0.25">
      <c r="A7" s="13" t="s">
        <v>108</v>
      </c>
      <c r="B7" s="11">
        <v>200</v>
      </c>
      <c r="C7" s="11">
        <v>600</v>
      </c>
      <c r="D7" s="11">
        <v>400</v>
      </c>
      <c r="E7" s="13"/>
      <c r="F7" s="13"/>
      <c r="G7" s="15">
        <f t="shared" si="0"/>
        <v>0.24</v>
      </c>
      <c r="H7" s="11">
        <v>24</v>
      </c>
      <c r="I7" s="126">
        <f t="shared" si="1"/>
        <v>5.76</v>
      </c>
      <c r="J7" s="14">
        <f t="shared" si="2"/>
        <v>1.1519999999999999</v>
      </c>
      <c r="K7" s="168">
        <v>57.69</v>
      </c>
      <c r="L7" s="169">
        <f>K7/200*1000</f>
        <v>288.45</v>
      </c>
      <c r="M7" s="17">
        <v>200</v>
      </c>
      <c r="N7" s="11">
        <v>8.33</v>
      </c>
      <c r="O7" s="11">
        <v>8.33</v>
      </c>
      <c r="P7" s="11">
        <v>13</v>
      </c>
      <c r="Q7" s="11"/>
    </row>
    <row r="8" spans="1:17" x14ac:dyDescent="0.25">
      <c r="A8" s="13" t="s">
        <v>70</v>
      </c>
      <c r="B8" s="11" t="s">
        <v>42</v>
      </c>
      <c r="C8" s="11">
        <v>1200</v>
      </c>
      <c r="D8" s="11">
        <v>400</v>
      </c>
      <c r="E8" s="13"/>
      <c r="F8" s="13"/>
      <c r="G8" s="15">
        <f>D8*C8/1000000</f>
        <v>0.48</v>
      </c>
      <c r="H8" s="11">
        <v>22</v>
      </c>
      <c r="I8" s="126">
        <f t="shared" si="1"/>
        <v>10.56</v>
      </c>
      <c r="J8" s="14">
        <f>I8*M8/1000</f>
        <v>1.056</v>
      </c>
      <c r="K8" s="168">
        <v>28.85</v>
      </c>
      <c r="L8" s="169">
        <f>K8/100*1000</f>
        <v>288.50000000000006</v>
      </c>
      <c r="M8" s="17">
        <v>100</v>
      </c>
      <c r="N8" s="11">
        <v>6.25</v>
      </c>
      <c r="O8" s="11">
        <v>8.33</v>
      </c>
      <c r="P8" s="11">
        <v>13</v>
      </c>
      <c r="Q8" s="11"/>
    </row>
    <row r="9" spans="1:17" x14ac:dyDescent="0.25">
      <c r="A9" s="13" t="s">
        <v>71</v>
      </c>
      <c r="B9" s="11" t="s">
        <v>43</v>
      </c>
      <c r="C9" s="11">
        <v>1200</v>
      </c>
      <c r="D9" s="11">
        <v>400</v>
      </c>
      <c r="E9" s="13"/>
      <c r="F9" s="13"/>
      <c r="G9" s="15">
        <f t="shared" ref="G9:G15" si="3">D9*C9/1000000</f>
        <v>0.48</v>
      </c>
      <c r="H9" s="11">
        <v>18</v>
      </c>
      <c r="I9" s="126">
        <f t="shared" si="1"/>
        <v>8.64</v>
      </c>
      <c r="J9" s="14">
        <f t="shared" ref="J9:J15" si="4">I9*M9/1000</f>
        <v>1.0368000000000002</v>
      </c>
      <c r="K9" s="168">
        <v>34.619999999999997</v>
      </c>
      <c r="L9" s="169">
        <f>K9/120*1000</f>
        <v>288.5</v>
      </c>
      <c r="M9" s="17">
        <v>120</v>
      </c>
      <c r="N9" s="11">
        <v>6.25</v>
      </c>
      <c r="O9" s="11">
        <v>8.33</v>
      </c>
      <c r="P9" s="11">
        <v>13</v>
      </c>
      <c r="Q9" s="11"/>
    </row>
    <row r="10" spans="1:17" x14ac:dyDescent="0.25">
      <c r="A10" s="13" t="s">
        <v>47</v>
      </c>
      <c r="B10" s="11">
        <v>140</v>
      </c>
      <c r="C10" s="11">
        <v>1200</v>
      </c>
      <c r="D10" s="11">
        <v>400</v>
      </c>
      <c r="E10" s="13"/>
      <c r="F10" s="13"/>
      <c r="G10" s="15">
        <f t="shared" si="3"/>
        <v>0.48</v>
      </c>
      <c r="H10" s="11">
        <v>16</v>
      </c>
      <c r="I10" s="126">
        <f t="shared" si="1"/>
        <v>7.68</v>
      </c>
      <c r="J10" s="14">
        <f t="shared" si="4"/>
        <v>1.0752000000000002</v>
      </c>
      <c r="K10" s="168">
        <v>40.380000000000003</v>
      </c>
      <c r="L10" s="169">
        <f>K10/B10*1000</f>
        <v>288.42857142857144</v>
      </c>
      <c r="M10" s="17">
        <v>140</v>
      </c>
      <c r="N10" s="11">
        <v>6.25</v>
      </c>
      <c r="O10" s="11">
        <v>8.33</v>
      </c>
      <c r="P10" s="11">
        <v>13</v>
      </c>
      <c r="Q10" s="11"/>
    </row>
    <row r="11" spans="1:17" x14ac:dyDescent="0.25">
      <c r="A11" s="13" t="s">
        <v>48</v>
      </c>
      <c r="B11" s="11">
        <v>160</v>
      </c>
      <c r="C11" s="11">
        <v>1200</v>
      </c>
      <c r="D11" s="11">
        <v>400</v>
      </c>
      <c r="E11" s="13"/>
      <c r="F11" s="13"/>
      <c r="G11" s="15">
        <f t="shared" si="3"/>
        <v>0.48</v>
      </c>
      <c r="H11" s="11">
        <v>14</v>
      </c>
      <c r="I11" s="126">
        <f t="shared" si="1"/>
        <v>6.72</v>
      </c>
      <c r="J11" s="14">
        <f t="shared" si="4"/>
        <v>1.0752000000000002</v>
      </c>
      <c r="K11" s="168">
        <v>46.15</v>
      </c>
      <c r="L11" s="169">
        <f>K11/B11*1000</f>
        <v>288.4375</v>
      </c>
      <c r="M11" s="17">
        <v>160</v>
      </c>
      <c r="N11" s="11">
        <v>6.25</v>
      </c>
      <c r="O11" s="11">
        <v>8.33</v>
      </c>
      <c r="P11" s="11">
        <v>13</v>
      </c>
      <c r="Q11" s="11"/>
    </row>
    <row r="12" spans="1:17" x14ac:dyDescent="0.25">
      <c r="A12" s="13" t="s">
        <v>49</v>
      </c>
      <c r="B12" s="11">
        <v>180</v>
      </c>
      <c r="C12" s="11">
        <v>1200</v>
      </c>
      <c r="D12" s="11">
        <v>400</v>
      </c>
      <c r="E12" s="13"/>
      <c r="F12" s="13"/>
      <c r="G12" s="15">
        <f t="shared" si="3"/>
        <v>0.48</v>
      </c>
      <c r="H12" s="11">
        <v>12</v>
      </c>
      <c r="I12" s="126">
        <f t="shared" si="1"/>
        <v>5.76</v>
      </c>
      <c r="J12" s="14">
        <f t="shared" si="4"/>
        <v>1.0367999999999999</v>
      </c>
      <c r="K12" s="168">
        <v>51.92</v>
      </c>
      <c r="L12" s="169">
        <f>K12/B12*1000</f>
        <v>288.44444444444446</v>
      </c>
      <c r="M12" s="17">
        <v>180</v>
      </c>
      <c r="N12" s="11">
        <v>6.25</v>
      </c>
      <c r="O12" s="11">
        <v>8.33</v>
      </c>
      <c r="P12" s="11">
        <v>13</v>
      </c>
      <c r="Q12" s="11"/>
    </row>
    <row r="13" spans="1:17" x14ac:dyDescent="0.25">
      <c r="A13" s="13" t="s">
        <v>72</v>
      </c>
      <c r="B13" s="11" t="s">
        <v>44</v>
      </c>
      <c r="C13" s="11">
        <v>1200</v>
      </c>
      <c r="D13" s="11">
        <v>400</v>
      </c>
      <c r="E13" s="13"/>
      <c r="F13" s="13"/>
      <c r="G13" s="15">
        <f t="shared" si="3"/>
        <v>0.48</v>
      </c>
      <c r="H13" s="11">
        <v>12</v>
      </c>
      <c r="I13" s="126">
        <f t="shared" si="1"/>
        <v>5.76</v>
      </c>
      <c r="J13" s="14">
        <f t="shared" si="4"/>
        <v>1.1519999999999999</v>
      </c>
      <c r="K13" s="168">
        <v>57.69</v>
      </c>
      <c r="L13" s="169">
        <f>K13/200*1000</f>
        <v>288.45</v>
      </c>
      <c r="M13" s="17">
        <v>200</v>
      </c>
      <c r="N13" s="11">
        <v>6.25</v>
      </c>
      <c r="O13" s="11">
        <v>8.33</v>
      </c>
      <c r="P13" s="11">
        <v>13</v>
      </c>
      <c r="Q13" s="11"/>
    </row>
    <row r="14" spans="1:17" x14ac:dyDescent="0.25">
      <c r="A14" s="13" t="s">
        <v>73</v>
      </c>
      <c r="B14" s="11" t="s">
        <v>45</v>
      </c>
      <c r="C14" s="11">
        <v>1200</v>
      </c>
      <c r="D14" s="11">
        <v>400</v>
      </c>
      <c r="E14" s="11"/>
      <c r="F14" s="11"/>
      <c r="G14" s="15">
        <f t="shared" si="3"/>
        <v>0.48</v>
      </c>
      <c r="H14" s="11">
        <v>10</v>
      </c>
      <c r="I14" s="126">
        <f t="shared" si="1"/>
        <v>4.8</v>
      </c>
      <c r="J14" s="14">
        <f t="shared" si="4"/>
        <v>1.056</v>
      </c>
      <c r="K14" s="168">
        <v>63.46</v>
      </c>
      <c r="L14" s="169">
        <f>K14/220*1000</f>
        <v>288.45454545454544</v>
      </c>
      <c r="M14" s="17">
        <v>220</v>
      </c>
      <c r="N14" s="11">
        <v>6.25</v>
      </c>
      <c r="O14" s="11">
        <v>8.33</v>
      </c>
      <c r="P14" s="11">
        <v>13</v>
      </c>
      <c r="Q14" s="11"/>
    </row>
    <row r="15" spans="1:17" x14ac:dyDescent="0.25">
      <c r="A15" s="13" t="s">
        <v>74</v>
      </c>
      <c r="B15" s="11" t="s">
        <v>46</v>
      </c>
      <c r="C15" s="11">
        <v>1200</v>
      </c>
      <c r="D15" s="11">
        <v>400</v>
      </c>
      <c r="E15" s="11"/>
      <c r="F15" s="11"/>
      <c r="G15" s="15">
        <f t="shared" si="3"/>
        <v>0.48</v>
      </c>
      <c r="H15" s="11">
        <v>10</v>
      </c>
      <c r="I15" s="126">
        <f t="shared" si="1"/>
        <v>4.8</v>
      </c>
      <c r="J15" s="14">
        <f t="shared" si="4"/>
        <v>1.1519999999999999</v>
      </c>
      <c r="K15" s="168">
        <v>69.23</v>
      </c>
      <c r="L15" s="169">
        <f>K15/240*1000</f>
        <v>288.45833333333337</v>
      </c>
      <c r="M15" s="17">
        <v>240</v>
      </c>
      <c r="N15" s="11">
        <v>6.25</v>
      </c>
      <c r="O15" s="11">
        <v>8.33</v>
      </c>
      <c r="P15" s="11">
        <v>13</v>
      </c>
      <c r="Q15" s="11"/>
    </row>
    <row r="16" spans="1:17" x14ac:dyDescent="0.25">
      <c r="A16" s="13" t="s">
        <v>96</v>
      </c>
      <c r="B16" s="22">
        <v>0</v>
      </c>
      <c r="C16" s="12">
        <v>0</v>
      </c>
      <c r="D16" s="12">
        <v>0</v>
      </c>
      <c r="E16" s="22">
        <v>0</v>
      </c>
      <c r="F16" s="22">
        <v>0</v>
      </c>
      <c r="G16" s="23">
        <v>0</v>
      </c>
      <c r="H16" s="12">
        <v>0</v>
      </c>
      <c r="I16" s="165">
        <v>0</v>
      </c>
      <c r="J16" s="165">
        <v>0</v>
      </c>
      <c r="K16" s="168">
        <v>0</v>
      </c>
      <c r="N16" s="12">
        <v>0</v>
      </c>
      <c r="O16" s="12">
        <v>0</v>
      </c>
      <c r="P16" s="12">
        <v>0</v>
      </c>
      <c r="Q16" s="12"/>
    </row>
    <row r="17" spans="2:16" x14ac:dyDescent="0.25">
      <c r="B17" s="18"/>
      <c r="C17" s="18"/>
      <c r="D17" s="18"/>
      <c r="E17" s="19"/>
      <c r="F17" s="19"/>
      <c r="I17"/>
      <c r="J17"/>
      <c r="M17" s="19"/>
    </row>
    <row r="18" spans="2:16" x14ac:dyDescent="0.25">
      <c r="B18" s="18"/>
      <c r="C18" s="18"/>
      <c r="D18" s="18"/>
      <c r="E18" s="19"/>
      <c r="F18" s="19"/>
      <c r="I18"/>
      <c r="J18"/>
      <c r="M18" s="19"/>
      <c r="N18"/>
      <c r="O18"/>
      <c r="P18"/>
    </row>
    <row r="19" spans="2:16" x14ac:dyDescent="0.25">
      <c r="B19" s="18"/>
      <c r="C19" s="18"/>
      <c r="D19" s="18"/>
      <c r="E19" s="19"/>
      <c r="F19" s="19"/>
      <c r="I19"/>
      <c r="J19"/>
      <c r="M19" s="19"/>
      <c r="N19"/>
      <c r="O19"/>
      <c r="P19"/>
    </row>
    <row r="20" spans="2:16" x14ac:dyDescent="0.25">
      <c r="B20" s="18"/>
      <c r="C20" s="18"/>
      <c r="D20" s="18"/>
      <c r="E20" s="19"/>
      <c r="F20" s="19"/>
      <c r="I20"/>
      <c r="J20"/>
      <c r="M20" s="19"/>
      <c r="N20"/>
      <c r="O20"/>
      <c r="P20"/>
    </row>
    <row r="21" spans="2:16" x14ac:dyDescent="0.25">
      <c r="B21" s="18"/>
      <c r="C21" s="18"/>
      <c r="D21" s="18"/>
      <c r="E21" s="19"/>
      <c r="F21" s="19"/>
      <c r="I21"/>
      <c r="J21"/>
      <c r="M21" s="19"/>
      <c r="N21"/>
      <c r="O21"/>
      <c r="P21"/>
    </row>
    <row r="22" spans="2:16" x14ac:dyDescent="0.25">
      <c r="B22" s="18"/>
      <c r="C22" s="18"/>
      <c r="D22" s="18"/>
      <c r="E22" s="19"/>
      <c r="F22" s="19"/>
      <c r="I22"/>
      <c r="J22"/>
      <c r="M22" s="19"/>
      <c r="N22"/>
      <c r="O22"/>
      <c r="P22"/>
    </row>
    <row r="23" spans="2:16" x14ac:dyDescent="0.25">
      <c r="B23" s="18"/>
      <c r="C23" s="18"/>
      <c r="D23" s="18"/>
      <c r="E23" s="19"/>
      <c r="F23" s="19"/>
      <c r="I23"/>
      <c r="J23"/>
      <c r="M23" s="19"/>
      <c r="N23"/>
      <c r="O23"/>
      <c r="P23"/>
    </row>
    <row r="24" spans="2:16" x14ac:dyDescent="0.25">
      <c r="B24" s="18"/>
      <c r="C24" s="18"/>
      <c r="D24" s="18"/>
      <c r="E24" s="19"/>
      <c r="F24" s="19"/>
      <c r="I24"/>
      <c r="J24"/>
      <c r="M24" s="19"/>
      <c r="N24"/>
      <c r="O24"/>
      <c r="P24"/>
    </row>
    <row r="25" spans="2:16" x14ac:dyDescent="0.25">
      <c r="B25" s="18"/>
      <c r="C25" s="18"/>
      <c r="D25" s="18"/>
      <c r="E25" s="19"/>
      <c r="F25" s="19"/>
      <c r="I25"/>
      <c r="J25"/>
      <c r="M25" s="19"/>
      <c r="N25"/>
      <c r="O25"/>
      <c r="P25"/>
    </row>
    <row r="26" spans="2:16" x14ac:dyDescent="0.25">
      <c r="B26" s="18"/>
      <c r="C26" s="18"/>
      <c r="D26" s="18"/>
      <c r="E26" s="19"/>
      <c r="F26" s="19"/>
      <c r="I26"/>
      <c r="J26"/>
      <c r="M26" s="19"/>
      <c r="N26"/>
      <c r="O26"/>
      <c r="P26"/>
    </row>
    <row r="27" spans="2:16" x14ac:dyDescent="0.25">
      <c r="B27" s="18"/>
      <c r="C27" s="18"/>
      <c r="D27" s="18"/>
      <c r="E27" s="19"/>
      <c r="F27" s="19"/>
      <c r="I27"/>
      <c r="J27"/>
      <c r="M27" s="19"/>
      <c r="N27"/>
      <c r="O27"/>
      <c r="P27"/>
    </row>
    <row r="28" spans="2:16" x14ac:dyDescent="0.25">
      <c r="B28" s="18"/>
      <c r="C28" s="18"/>
      <c r="D28" s="18"/>
      <c r="E28" s="19"/>
      <c r="F28" s="19"/>
      <c r="I28"/>
      <c r="J28"/>
      <c r="M28" s="19"/>
      <c r="N28"/>
      <c r="O28"/>
      <c r="P28"/>
    </row>
    <row r="29" spans="2:16" x14ac:dyDescent="0.25">
      <c r="B29" s="18"/>
      <c r="C29" s="18"/>
      <c r="D29" s="18"/>
      <c r="E29" s="19"/>
      <c r="F29" s="19"/>
      <c r="I29"/>
      <c r="J29"/>
      <c r="M29" s="19"/>
      <c r="N29"/>
      <c r="O29"/>
      <c r="P29"/>
    </row>
    <row r="30" spans="2:16" x14ac:dyDescent="0.25">
      <c r="B30" s="18"/>
      <c r="C30" s="18"/>
      <c r="D30" s="18"/>
      <c r="E30" s="19"/>
      <c r="F30" s="19"/>
      <c r="I30"/>
      <c r="J30"/>
      <c r="M30" s="19"/>
      <c r="N30"/>
      <c r="O30"/>
      <c r="P30"/>
    </row>
    <row r="31" spans="2:16" x14ac:dyDescent="0.25">
      <c r="B31" s="18"/>
      <c r="C31" s="18"/>
      <c r="D31" s="18"/>
      <c r="E31" s="19"/>
      <c r="F31" s="19"/>
      <c r="I31"/>
      <c r="J31"/>
      <c r="M31" s="19"/>
      <c r="N31"/>
      <c r="O31"/>
      <c r="P31"/>
    </row>
    <row r="32" spans="2:16" x14ac:dyDescent="0.25">
      <c r="B32" s="18"/>
      <c r="C32" s="18"/>
      <c r="D32" s="18"/>
      <c r="E32" s="19"/>
      <c r="F32" s="19"/>
      <c r="I32"/>
      <c r="J32"/>
      <c r="M32" s="19"/>
      <c r="N32"/>
      <c r="O32"/>
      <c r="P32"/>
    </row>
    <row r="33" spans="2:16" x14ac:dyDescent="0.25">
      <c r="B33" s="18"/>
      <c r="C33" s="18"/>
      <c r="D33" s="18"/>
      <c r="E33" s="19"/>
      <c r="F33" s="19"/>
      <c r="I33"/>
      <c r="J33"/>
      <c r="M33" s="19"/>
      <c r="N33"/>
      <c r="O33"/>
      <c r="P33"/>
    </row>
    <row r="34" spans="2:16" x14ac:dyDescent="0.25">
      <c r="B34" s="18"/>
      <c r="C34" s="18"/>
      <c r="D34" s="18"/>
      <c r="E34" s="19"/>
      <c r="F34" s="19"/>
      <c r="I34"/>
      <c r="J34"/>
      <c r="M34" s="19"/>
      <c r="N34"/>
      <c r="O34"/>
      <c r="P34"/>
    </row>
    <row r="35" spans="2:16" x14ac:dyDescent="0.25">
      <c r="B35" s="18"/>
      <c r="C35" s="18"/>
      <c r="D35" s="18"/>
      <c r="E35" s="19"/>
      <c r="F35" s="19"/>
      <c r="I35"/>
      <c r="J35"/>
      <c r="M35" s="19"/>
      <c r="N35"/>
      <c r="O35"/>
      <c r="P35"/>
    </row>
    <row r="36" spans="2:16" x14ac:dyDescent="0.25">
      <c r="B36" s="18"/>
      <c r="C36" s="18"/>
      <c r="D36" s="18"/>
      <c r="E36" s="19"/>
      <c r="F36" s="19"/>
      <c r="I36"/>
      <c r="J36"/>
      <c r="M36" s="19"/>
      <c r="N36"/>
      <c r="O36"/>
      <c r="P36"/>
    </row>
    <row r="37" spans="2:16" x14ac:dyDescent="0.25">
      <c r="B37" s="18"/>
      <c r="C37" s="18"/>
      <c r="D37" s="18"/>
      <c r="E37" s="19"/>
      <c r="F37" s="19"/>
      <c r="I37"/>
      <c r="J37"/>
      <c r="M37" s="19"/>
      <c r="N37"/>
      <c r="O37"/>
      <c r="P37"/>
    </row>
    <row r="38" spans="2:16" x14ac:dyDescent="0.25">
      <c r="B38" s="18"/>
      <c r="C38" s="18"/>
      <c r="D38" s="18"/>
      <c r="E38" s="19"/>
      <c r="F38" s="19"/>
      <c r="I38"/>
      <c r="J38"/>
      <c r="M38" s="19"/>
      <c r="N38"/>
      <c r="O38"/>
      <c r="P38"/>
    </row>
    <row r="39" spans="2:16" x14ac:dyDescent="0.25">
      <c r="B39" s="18"/>
      <c r="C39" s="18"/>
      <c r="D39" s="18"/>
      <c r="E39" s="19"/>
      <c r="F39" s="19"/>
      <c r="I39"/>
      <c r="J39"/>
      <c r="M39" s="19"/>
      <c r="N39"/>
      <c r="O39"/>
      <c r="P39"/>
    </row>
    <row r="40" spans="2:16" x14ac:dyDescent="0.25">
      <c r="B40" s="18"/>
      <c r="C40" s="18"/>
      <c r="D40" s="18"/>
      <c r="E40" s="19"/>
      <c r="F40" s="19"/>
      <c r="I40"/>
      <c r="J40"/>
      <c r="M40" s="19"/>
      <c r="N40"/>
      <c r="O40"/>
      <c r="P40"/>
    </row>
    <row r="41" spans="2:16" x14ac:dyDescent="0.25">
      <c r="B41" s="18"/>
      <c r="C41" s="18"/>
      <c r="D41" s="18"/>
      <c r="E41" s="19"/>
      <c r="F41" s="19"/>
      <c r="I41"/>
      <c r="J41"/>
      <c r="M41" s="19"/>
      <c r="N41"/>
      <c r="O41"/>
      <c r="P41"/>
    </row>
    <row r="42" spans="2:16" x14ac:dyDescent="0.25">
      <c r="B42" s="18"/>
      <c r="C42" s="18"/>
      <c r="D42" s="18"/>
      <c r="E42" s="19"/>
      <c r="F42" s="19"/>
      <c r="I42"/>
      <c r="J42"/>
      <c r="M42" s="19"/>
      <c r="N42"/>
      <c r="O42"/>
      <c r="P42"/>
    </row>
    <row r="43" spans="2:16" ht="15" customHeight="1" x14ac:dyDescent="0.25">
      <c r="B43" s="18"/>
      <c r="C43" s="18"/>
      <c r="D43" s="18"/>
      <c r="E43" s="19"/>
      <c r="F43" s="19"/>
      <c r="I43"/>
      <c r="J43"/>
      <c r="M43" s="19"/>
      <c r="N43"/>
      <c r="O43"/>
      <c r="P43"/>
    </row>
    <row r="44" spans="2:16" x14ac:dyDescent="0.25">
      <c r="B44" s="18"/>
      <c r="C44" s="18"/>
      <c r="D44" s="18"/>
      <c r="E44" s="19"/>
      <c r="F44" s="19"/>
      <c r="I44"/>
      <c r="J44"/>
      <c r="M44" s="19"/>
      <c r="N44"/>
      <c r="O44"/>
      <c r="P44"/>
    </row>
    <row r="45" spans="2:16" x14ac:dyDescent="0.25">
      <c r="B45" s="18"/>
      <c r="C45" s="18"/>
      <c r="D45" s="18"/>
      <c r="E45" s="19"/>
      <c r="F45" s="19"/>
      <c r="I45"/>
      <c r="J45"/>
      <c r="M45" s="19"/>
      <c r="N45"/>
      <c r="O45"/>
      <c r="P45"/>
    </row>
    <row r="46" spans="2:16" x14ac:dyDescent="0.25">
      <c r="B46" s="18"/>
      <c r="C46" s="18"/>
      <c r="D46" s="18"/>
      <c r="E46" s="19"/>
      <c r="F46" s="19"/>
      <c r="I46"/>
      <c r="J46"/>
      <c r="M46" s="19"/>
      <c r="N46"/>
      <c r="O46"/>
      <c r="P46"/>
    </row>
    <row r="47" spans="2:16" x14ac:dyDescent="0.25">
      <c r="B47" s="18"/>
      <c r="C47" s="18"/>
      <c r="D47" s="18"/>
      <c r="E47" s="19"/>
      <c r="F47" s="19"/>
      <c r="I47"/>
      <c r="J47"/>
      <c r="M47" s="19"/>
      <c r="N47"/>
      <c r="O47"/>
      <c r="P47"/>
    </row>
    <row r="48" spans="2:16" x14ac:dyDescent="0.25">
      <c r="B48" s="18"/>
      <c r="C48" s="18"/>
      <c r="D48" s="18"/>
      <c r="E48" s="19"/>
      <c r="F48" s="19"/>
      <c r="I48"/>
      <c r="J48"/>
      <c r="M48" s="19"/>
      <c r="N48"/>
      <c r="O48"/>
      <c r="P48"/>
    </row>
    <row r="49" spans="2:16" x14ac:dyDescent="0.25">
      <c r="B49" s="18"/>
      <c r="C49" s="18"/>
      <c r="D49" s="18"/>
      <c r="E49" s="19"/>
      <c r="F49" s="19"/>
      <c r="I49"/>
      <c r="J49"/>
      <c r="M49" s="19"/>
      <c r="N49"/>
      <c r="O49"/>
      <c r="P49"/>
    </row>
    <row r="50" spans="2:16" x14ac:dyDescent="0.25">
      <c r="B50" s="18"/>
      <c r="C50" s="18"/>
      <c r="D50" s="18"/>
      <c r="E50" s="19"/>
      <c r="F50" s="19"/>
      <c r="I50"/>
      <c r="J50"/>
      <c r="M50" s="19"/>
      <c r="N50"/>
      <c r="O50"/>
      <c r="P50"/>
    </row>
    <row r="51" spans="2:16" x14ac:dyDescent="0.25">
      <c r="B51" s="18"/>
      <c r="C51" s="18"/>
      <c r="D51" s="18"/>
      <c r="E51" s="19"/>
      <c r="F51" s="19"/>
      <c r="I51"/>
      <c r="J51"/>
      <c r="M51" s="19"/>
      <c r="N51"/>
      <c r="O51"/>
      <c r="P51"/>
    </row>
    <row r="52" spans="2:16" x14ac:dyDescent="0.25">
      <c r="B52" s="18"/>
      <c r="C52" s="18"/>
      <c r="D52" s="18"/>
      <c r="E52" s="19"/>
      <c r="F52" s="19"/>
      <c r="I52"/>
      <c r="J52"/>
      <c r="M52" s="19"/>
      <c r="N52"/>
      <c r="O52"/>
      <c r="P52"/>
    </row>
    <row r="53" spans="2:16" x14ac:dyDescent="0.25">
      <c r="B53" s="18"/>
      <c r="C53" s="18"/>
      <c r="D53" s="18"/>
      <c r="E53" s="19"/>
      <c r="F53" s="19"/>
      <c r="I53"/>
      <c r="J53"/>
      <c r="M53" s="19"/>
      <c r="N53"/>
      <c r="O53"/>
      <c r="P53"/>
    </row>
    <row r="54" spans="2:16" x14ac:dyDescent="0.25">
      <c r="B54" s="18"/>
      <c r="C54" s="18"/>
      <c r="D54" s="18"/>
      <c r="E54" s="19"/>
      <c r="F54" s="19"/>
      <c r="I54"/>
      <c r="J54"/>
      <c r="M54" s="19"/>
      <c r="N54"/>
      <c r="O54"/>
      <c r="P54"/>
    </row>
    <row r="55" spans="2:16" x14ac:dyDescent="0.25">
      <c r="B55" s="19"/>
      <c r="C55" s="19"/>
      <c r="D55" s="19"/>
      <c r="E55" s="19"/>
      <c r="F55" s="19"/>
      <c r="G55" s="2"/>
      <c r="N55"/>
      <c r="O55"/>
      <c r="P55"/>
    </row>
  </sheetData>
  <autoFilter ref="A1:K2"/>
  <dataConsolidate link="1"/>
  <mergeCells count="2">
    <mergeCell ref="C2:D2"/>
    <mergeCell ref="E2:F2"/>
  </mergeCells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2"/>
  <sheetViews>
    <sheetView showGridLines="0" zoomScaleNormal="100" workbookViewId="0">
      <selection activeCell="A18" sqref="A18"/>
    </sheetView>
  </sheetViews>
  <sheetFormatPr baseColWidth="10" defaultColWidth="57.5703125" defaultRowHeight="14.25" x14ac:dyDescent="0.2"/>
  <cols>
    <col min="1" max="1" width="57.5703125" style="24"/>
    <col min="2" max="2" width="15.5703125" style="25" customWidth="1"/>
    <col min="3" max="5" width="17.5703125" style="25" hidden="1" customWidth="1"/>
    <col min="6" max="7" width="15.5703125" style="25" customWidth="1"/>
    <col min="8" max="8" width="2" style="25" customWidth="1"/>
    <col min="9" max="9" width="15.5703125" style="25" customWidth="1"/>
    <col min="10" max="10" width="15.5703125" style="29" customWidth="1"/>
    <col min="11" max="11" width="18" style="25" bestFit="1" customWidth="1"/>
    <col min="12" max="13" width="15.5703125" style="25" customWidth="1"/>
    <col min="14" max="14" width="4.5703125" style="24" customWidth="1"/>
    <col min="15" max="15" width="47.5703125" style="24" customWidth="1"/>
    <col min="16" max="16384" width="57.5703125" style="24"/>
  </cols>
  <sheetData>
    <row r="1" spans="1:15" ht="63.75" customHeight="1" x14ac:dyDescent="0.2"/>
    <row r="2" spans="1:15" s="38" customFormat="1" ht="66.75" customHeight="1" x14ac:dyDescent="0.6">
      <c r="A2" s="36" t="s">
        <v>172</v>
      </c>
      <c r="B2" s="37"/>
      <c r="C2" s="37"/>
      <c r="D2" s="37"/>
      <c r="E2" s="37"/>
      <c r="I2" s="39"/>
      <c r="J2" s="40"/>
      <c r="K2" s="37"/>
      <c r="L2" s="37"/>
      <c r="M2" s="37"/>
    </row>
    <row r="3" spans="1:15" s="38" customFormat="1" ht="22.5" customHeight="1" x14ac:dyDescent="0.55000000000000004">
      <c r="A3" s="107" t="s">
        <v>173</v>
      </c>
      <c r="B3" s="37"/>
      <c r="C3" s="37"/>
      <c r="D3" s="37"/>
      <c r="E3" s="37"/>
      <c r="I3" s="37"/>
      <c r="J3" s="40"/>
      <c r="K3" s="37"/>
      <c r="L3" s="37"/>
      <c r="M3" s="37"/>
    </row>
    <row r="4" spans="1:15" ht="5.25" customHeight="1" x14ac:dyDescent="0.2">
      <c r="F4" s="24"/>
      <c r="G4" s="24"/>
      <c r="H4" s="24"/>
      <c r="K4" s="24"/>
      <c r="L4" s="24"/>
      <c r="M4" s="24"/>
    </row>
    <row r="5" spans="1:15" s="38" customFormat="1" ht="22.5" customHeight="1" x14ac:dyDescent="0.55000000000000004">
      <c r="A5" s="34" t="s">
        <v>80</v>
      </c>
      <c r="B5" s="37"/>
      <c r="C5" s="37"/>
      <c r="D5" s="37"/>
      <c r="E5" s="37"/>
      <c r="I5" s="37"/>
      <c r="J5" s="40"/>
      <c r="K5" s="37"/>
      <c r="L5" s="37"/>
      <c r="M5" s="37"/>
    </row>
    <row r="6" spans="1:15" s="46" customFormat="1" ht="29.25" customHeight="1" x14ac:dyDescent="0.2">
      <c r="E6" s="43"/>
      <c r="G6" s="43"/>
      <c r="H6" s="43"/>
      <c r="I6" s="43"/>
      <c r="J6" s="74"/>
      <c r="K6" s="75"/>
      <c r="L6" s="76"/>
      <c r="M6" s="77"/>
    </row>
    <row r="7" spans="1:15" s="46" customFormat="1" ht="15" customHeight="1" x14ac:dyDescent="0.2">
      <c r="A7" s="78" t="s">
        <v>90</v>
      </c>
      <c r="B7" s="79"/>
      <c r="C7" s="79"/>
      <c r="D7" s="79"/>
      <c r="E7" s="43"/>
      <c r="J7" s="74"/>
      <c r="K7" s="43"/>
      <c r="L7" s="43"/>
      <c r="M7" s="43"/>
    </row>
    <row r="8" spans="1:15" s="46" customFormat="1" ht="14.25" customHeight="1" thickBot="1" x14ac:dyDescent="0.25">
      <c r="B8" s="43"/>
      <c r="C8" s="43"/>
      <c r="D8" s="43"/>
      <c r="E8" s="43"/>
      <c r="F8" s="43"/>
      <c r="J8" s="74"/>
      <c r="K8" s="43"/>
      <c r="L8" s="43"/>
      <c r="M8" s="43"/>
    </row>
    <row r="9" spans="1:15" s="43" customFormat="1" ht="23.1" customHeight="1" thickBot="1" x14ac:dyDescent="0.3">
      <c r="A9" s="68" t="s">
        <v>131</v>
      </c>
      <c r="B9" s="69">
        <v>200</v>
      </c>
      <c r="J9" s="74"/>
      <c r="K9" s="70" t="s">
        <v>91</v>
      </c>
      <c r="L9" s="240"/>
      <c r="M9" s="241"/>
    </row>
    <row r="10" spans="1:15" s="43" customFormat="1" ht="23.1" customHeight="1" thickBot="1" x14ac:dyDescent="0.3">
      <c r="A10" s="68" t="s">
        <v>130</v>
      </c>
      <c r="B10" s="69">
        <v>20</v>
      </c>
      <c r="J10" s="74"/>
      <c r="K10" s="72" t="s">
        <v>246</v>
      </c>
      <c r="L10" s="240"/>
      <c r="M10" s="241"/>
    </row>
    <row r="11" spans="1:15" s="43" customFormat="1" ht="23.1" customHeight="1" thickBot="1" x14ac:dyDescent="0.3">
      <c r="A11" s="68" t="s">
        <v>103</v>
      </c>
      <c r="B11" s="71">
        <v>0</v>
      </c>
      <c r="J11" s="74"/>
      <c r="K11" s="73" t="s">
        <v>92</v>
      </c>
      <c r="L11" s="240"/>
      <c r="M11" s="241"/>
    </row>
    <row r="12" spans="1:15" s="46" customFormat="1" ht="23.1" customHeight="1" thickBot="1" x14ac:dyDescent="0.25">
      <c r="A12" s="68" t="s">
        <v>104</v>
      </c>
      <c r="B12" s="71">
        <v>0</v>
      </c>
      <c r="C12" s="43"/>
      <c r="D12" s="43"/>
      <c r="E12" s="43"/>
      <c r="F12" s="43"/>
      <c r="J12" s="74"/>
      <c r="K12" s="72" t="s">
        <v>93</v>
      </c>
      <c r="L12" s="240"/>
      <c r="M12" s="241"/>
    </row>
    <row r="13" spans="1:15" s="46" customFormat="1" ht="23.1" customHeight="1" thickBot="1" x14ac:dyDescent="0.25">
      <c r="A13" s="68" t="s">
        <v>129</v>
      </c>
      <c r="B13" s="118">
        <v>-1</v>
      </c>
      <c r="C13" s="43"/>
      <c r="D13" s="43"/>
      <c r="E13" s="43"/>
      <c r="F13" s="43"/>
      <c r="J13" s="74"/>
    </row>
    <row r="14" spans="1:15" s="27" customFormat="1" ht="36" customHeight="1" thickBot="1" x14ac:dyDescent="0.25">
      <c r="B14" s="26"/>
      <c r="C14" s="26"/>
      <c r="D14" s="26"/>
      <c r="E14" s="26"/>
      <c r="F14" s="26"/>
      <c r="G14" s="26"/>
      <c r="H14" s="26"/>
      <c r="I14" s="26"/>
      <c r="J14" s="30"/>
      <c r="K14" s="26"/>
      <c r="L14" s="26"/>
      <c r="M14" s="26"/>
    </row>
    <row r="15" spans="1:15" s="27" customFormat="1" ht="36" customHeight="1" x14ac:dyDescent="0.2">
      <c r="A15" s="242" t="s">
        <v>128</v>
      </c>
      <c r="B15" s="243"/>
      <c r="C15" s="243"/>
      <c r="D15" s="243"/>
      <c r="E15" s="243"/>
      <c r="F15" s="243"/>
      <c r="G15" s="243"/>
      <c r="H15" s="243"/>
      <c r="I15" s="243"/>
      <c r="J15" s="243"/>
      <c r="K15" s="243"/>
      <c r="L15" s="243"/>
      <c r="M15" s="244"/>
      <c r="O15" s="80"/>
    </row>
    <row r="16" spans="1:15" s="27" customFormat="1" ht="15" x14ac:dyDescent="0.2">
      <c r="A16" s="97"/>
      <c r="B16" s="26"/>
      <c r="C16" s="26"/>
      <c r="D16" s="26"/>
      <c r="E16" s="26"/>
      <c r="F16" s="26"/>
      <c r="G16" s="26"/>
      <c r="H16" s="26"/>
      <c r="I16" s="26"/>
      <c r="J16" s="30"/>
      <c r="K16" s="26"/>
      <c r="L16" s="26"/>
      <c r="M16" s="92"/>
      <c r="O16" s="80"/>
    </row>
    <row r="17" spans="1:15" s="46" customFormat="1" ht="30" customHeight="1" x14ac:dyDescent="0.2">
      <c r="A17" s="93" t="s">
        <v>51</v>
      </c>
      <c r="B17" s="41" t="s">
        <v>115</v>
      </c>
      <c r="C17" s="42" t="s">
        <v>82</v>
      </c>
      <c r="D17" s="42" t="s">
        <v>83</v>
      </c>
      <c r="E17" s="42" t="s">
        <v>54</v>
      </c>
      <c r="F17" s="41" t="s">
        <v>61</v>
      </c>
      <c r="G17" s="41" t="s">
        <v>65</v>
      </c>
      <c r="H17" s="52"/>
      <c r="I17" s="44" t="s">
        <v>81</v>
      </c>
      <c r="J17" s="45" t="s">
        <v>29</v>
      </c>
      <c r="K17" s="41" t="s">
        <v>101</v>
      </c>
      <c r="L17" s="41" t="s">
        <v>4</v>
      </c>
      <c r="M17" s="94" t="s">
        <v>1</v>
      </c>
      <c r="O17" s="80"/>
    </row>
    <row r="18" spans="1:15" s="43" customFormat="1" ht="30" customHeight="1" x14ac:dyDescent="0.25">
      <c r="A18" s="95" t="s">
        <v>179</v>
      </c>
      <c r="B18" s="47">
        <f>IF($A18="Keine Auswahl",0,$B$9)</f>
        <v>200</v>
      </c>
      <c r="C18" s="48">
        <f>IF(A18="Keine Auswahl",0,1)</f>
        <v>1</v>
      </c>
      <c r="D18" s="49">
        <f>B18*C18</f>
        <v>200</v>
      </c>
      <c r="E18" s="49">
        <f>VLOOKUP(A18,Platten_Timber_Werte,9,FALSE)</f>
        <v>30.21</v>
      </c>
      <c r="F18" s="48">
        <f>IF($A18="Keine Auswahl",0,ROUNDUP($D18/$E18,0))</f>
        <v>7</v>
      </c>
      <c r="G18" s="48">
        <f>F18*E18</f>
        <v>211.47</v>
      </c>
      <c r="I18" s="50">
        <f>VLOOKUP(A18,Platten_Timber_Werte,11,FALSE)</f>
        <v>24.23</v>
      </c>
      <c r="J18" s="51">
        <f>IF($A18="Keine Auswahl",0,$B$11)</f>
        <v>0</v>
      </c>
      <c r="K18" s="50">
        <f>I18-(I18*J18)</f>
        <v>24.23</v>
      </c>
      <c r="L18" s="48" t="s">
        <v>63</v>
      </c>
      <c r="M18" s="96">
        <f>E18*F18*K18</f>
        <v>5123.9180999999999</v>
      </c>
      <c r="O18" s="80"/>
    </row>
    <row r="19" spans="1:15" s="27" customFormat="1" ht="15" x14ac:dyDescent="0.2">
      <c r="A19" s="91"/>
      <c r="B19" s="26"/>
      <c r="C19" s="26"/>
      <c r="D19" s="26"/>
      <c r="E19" s="26"/>
      <c r="F19" s="26"/>
      <c r="G19" s="26"/>
      <c r="H19" s="26"/>
      <c r="I19" s="26"/>
      <c r="J19" s="30"/>
      <c r="K19" s="26"/>
      <c r="L19" s="26"/>
      <c r="M19" s="92"/>
      <c r="O19" s="80"/>
    </row>
    <row r="20" spans="1:15" s="46" customFormat="1" ht="30" customHeight="1" x14ac:dyDescent="0.2">
      <c r="A20" s="93" t="s">
        <v>112</v>
      </c>
      <c r="B20" s="41" t="s">
        <v>114</v>
      </c>
      <c r="C20" s="42" t="s">
        <v>117</v>
      </c>
      <c r="D20" s="42" t="s">
        <v>118</v>
      </c>
      <c r="E20" s="42" t="s">
        <v>116</v>
      </c>
      <c r="F20" s="41" t="s">
        <v>113</v>
      </c>
      <c r="G20" s="41" t="s">
        <v>119</v>
      </c>
      <c r="H20" s="52"/>
      <c r="I20" s="44" t="s">
        <v>81</v>
      </c>
      <c r="J20" s="45" t="s">
        <v>29</v>
      </c>
      <c r="K20" s="41" t="s">
        <v>101</v>
      </c>
      <c r="L20" s="41" t="s">
        <v>4</v>
      </c>
      <c r="M20" s="94" t="s">
        <v>1</v>
      </c>
      <c r="O20" s="80"/>
    </row>
    <row r="21" spans="1:15" s="43" customFormat="1" ht="30" customHeight="1" x14ac:dyDescent="0.25">
      <c r="A21" s="95" t="s">
        <v>275</v>
      </c>
      <c r="B21" s="47">
        <f>IF($A21="Keine Auswahl",0,$B$9)</f>
        <v>200</v>
      </c>
      <c r="C21" s="48">
        <f>VLOOKUP(A18,Platten_Timber_Werte,IF(B13=-0.55,14,(IF(B13=-1,15,16))),FALSE)</f>
        <v>8.35</v>
      </c>
      <c r="D21" s="49">
        <f>B21*C21</f>
        <v>1670</v>
      </c>
      <c r="E21" s="49">
        <f>VLOOKUP($A21,Befestigung_Timber_Werte,3,FALSE)</f>
        <v>200</v>
      </c>
      <c r="F21" s="48">
        <f>IF($A21="Keine Auswahl",0,ROUNDUP($D21/$E21,0))</f>
        <v>9</v>
      </c>
      <c r="G21" s="48">
        <f>F21*E21</f>
        <v>1800</v>
      </c>
      <c r="I21" s="50">
        <f>VLOOKUP(A21,Befestigung_Timber_Werte,10,FALSE)</f>
        <v>160.96</v>
      </c>
      <c r="J21" s="51">
        <f>IF($A21="Keine Auswahl",0,$B$12)</f>
        <v>0</v>
      </c>
      <c r="K21" s="50">
        <f>I21-(I21*J21)</f>
        <v>160.96</v>
      </c>
      <c r="L21" s="48" t="s">
        <v>33</v>
      </c>
      <c r="M21" s="96">
        <f>F21*K21</f>
        <v>1448.64</v>
      </c>
      <c r="O21" s="80"/>
    </row>
    <row r="22" spans="1:15" s="27" customFormat="1" ht="15" x14ac:dyDescent="0.2">
      <c r="A22" s="91"/>
      <c r="B22" s="26"/>
      <c r="C22" s="26"/>
      <c r="D22" s="26"/>
      <c r="E22" s="26"/>
      <c r="F22" s="26"/>
      <c r="G22" s="26"/>
      <c r="H22" s="26"/>
      <c r="I22" s="26"/>
      <c r="J22" s="30"/>
      <c r="K22" s="26"/>
      <c r="L22" s="26"/>
      <c r="M22" s="92"/>
      <c r="O22" s="80"/>
    </row>
    <row r="23" spans="1:15" s="46" customFormat="1" ht="30" customHeight="1" x14ac:dyDescent="0.2">
      <c r="A23" s="93" t="s">
        <v>135</v>
      </c>
      <c r="B23" s="41" t="s">
        <v>62</v>
      </c>
      <c r="C23" s="42" t="s">
        <v>84</v>
      </c>
      <c r="D23" s="42" t="s">
        <v>85</v>
      </c>
      <c r="E23" s="42" t="s">
        <v>55</v>
      </c>
      <c r="F23" s="41" t="s">
        <v>60</v>
      </c>
      <c r="G23" s="41" t="s">
        <v>66</v>
      </c>
      <c r="H23" s="52"/>
      <c r="I23" s="44" t="s">
        <v>81</v>
      </c>
      <c r="J23" s="45" t="s">
        <v>29</v>
      </c>
      <c r="K23" s="41" t="s">
        <v>101</v>
      </c>
      <c r="L23" s="41" t="s">
        <v>4</v>
      </c>
      <c r="M23" s="94" t="s">
        <v>1</v>
      </c>
      <c r="O23" s="80"/>
    </row>
    <row r="24" spans="1:15" s="43" customFormat="1" ht="30" customHeight="1" x14ac:dyDescent="0.25">
      <c r="A24" s="95" t="s">
        <v>53</v>
      </c>
      <c r="B24" s="47">
        <f>IF($A24="Keine Auswahl",0,$B$9)</f>
        <v>200</v>
      </c>
      <c r="C24" s="48">
        <f>VLOOKUP(A24,Putze_Zubehör_Werte,6,FALSE)</f>
        <v>7.5</v>
      </c>
      <c r="D24" s="49">
        <f>B24*C24</f>
        <v>1500</v>
      </c>
      <c r="E24" s="49">
        <f>VLOOKUP(A24,Putze_Zubehör_Werte,3,FALSE)</f>
        <v>25</v>
      </c>
      <c r="F24" s="48">
        <f>IF($A24="Keine Auswahl",0,ROUNDUP($D24/$E24,0))</f>
        <v>60</v>
      </c>
      <c r="G24" s="48">
        <f>F24*E24</f>
        <v>1500</v>
      </c>
      <c r="I24" s="50">
        <f>'Staffelpreise Timber'!E5</f>
        <v>1.53</v>
      </c>
      <c r="J24" s="51">
        <f>IF($A24="Keine Auswahl",0,$B$12)</f>
        <v>0</v>
      </c>
      <c r="K24" s="50">
        <f>I24-(I24*J24)</f>
        <v>1.53</v>
      </c>
      <c r="L24" s="48" t="s">
        <v>7</v>
      </c>
      <c r="M24" s="96">
        <f>E24*F24*K24</f>
        <v>2295</v>
      </c>
      <c r="O24" s="80"/>
    </row>
    <row r="25" spans="1:15" s="27" customFormat="1" ht="15" x14ac:dyDescent="0.2">
      <c r="A25" s="91"/>
      <c r="B25" s="26"/>
      <c r="C25" s="26"/>
      <c r="D25" s="26"/>
      <c r="E25" s="26"/>
      <c r="F25" s="26"/>
      <c r="G25" s="26"/>
      <c r="H25" s="26"/>
      <c r="I25" s="26"/>
      <c r="J25" s="30"/>
      <c r="K25" s="26"/>
      <c r="L25" s="26"/>
      <c r="M25" s="92"/>
    </row>
    <row r="26" spans="1:15" s="46" customFormat="1" ht="30" customHeight="1" x14ac:dyDescent="0.2">
      <c r="A26" s="93" t="s">
        <v>52</v>
      </c>
      <c r="B26" s="41" t="s">
        <v>62</v>
      </c>
      <c r="C26" s="42" t="s">
        <v>86</v>
      </c>
      <c r="D26" s="42" t="s">
        <v>87</v>
      </c>
      <c r="E26" s="42" t="s">
        <v>56</v>
      </c>
      <c r="F26" s="41" t="s">
        <v>59</v>
      </c>
      <c r="G26" s="41" t="s">
        <v>67</v>
      </c>
      <c r="H26" s="52"/>
      <c r="I26" s="44" t="s">
        <v>81</v>
      </c>
      <c r="J26" s="45" t="s">
        <v>29</v>
      </c>
      <c r="K26" s="41" t="s">
        <v>101</v>
      </c>
      <c r="L26" s="41" t="s">
        <v>4</v>
      </c>
      <c r="M26" s="94" t="s">
        <v>1</v>
      </c>
      <c r="O26" s="80"/>
    </row>
    <row r="27" spans="1:15" s="43" customFormat="1" ht="30" customHeight="1" x14ac:dyDescent="0.25">
      <c r="A27" s="95" t="s">
        <v>242</v>
      </c>
      <c r="B27" s="47">
        <f>IF($A27="Keine Auswahl",0,$B$9)</f>
        <v>200</v>
      </c>
      <c r="C27" s="48">
        <f>VLOOKUP(A27,Putze_Zubehör_Werte,6,FALSE)</f>
        <v>1</v>
      </c>
      <c r="D27" s="49">
        <f>B27*C27</f>
        <v>200</v>
      </c>
      <c r="E27" s="49">
        <f>VLOOKUP(A27,Putze_Zubehör_Werte,3,FALSE)</f>
        <v>50</v>
      </c>
      <c r="F27" s="48">
        <f>IF($A27="Keine Auswahl",0,ROUNDUP($D27/$E27,0))</f>
        <v>4</v>
      </c>
      <c r="G27" s="48">
        <f>F27*E27</f>
        <v>200</v>
      </c>
      <c r="I27" s="50">
        <f>IF(A27="Keine Auswahl",VLOOKUP(A27,Putze_Zubehör_Werte,10,FALSE),(VLOOKUP(A27,Gewebe_Staffelung_Timber,5,FALSE)))</f>
        <v>2.9</v>
      </c>
      <c r="J27" s="51">
        <f>IF($A27="Keine Auswahl",0,$B$12)</f>
        <v>0</v>
      </c>
      <c r="K27" s="50">
        <f>I27-(I27*J27)</f>
        <v>2.9</v>
      </c>
      <c r="L27" s="48" t="s">
        <v>3</v>
      </c>
      <c r="M27" s="96">
        <f>E27*F27*K27</f>
        <v>580</v>
      </c>
      <c r="O27" s="80"/>
    </row>
    <row r="28" spans="1:15" s="27" customFormat="1" ht="15" x14ac:dyDescent="0.2">
      <c r="A28" s="91"/>
      <c r="B28" s="26"/>
      <c r="C28" s="26"/>
      <c r="D28" s="26"/>
      <c r="E28" s="26"/>
      <c r="F28" s="26"/>
      <c r="G28" s="26"/>
      <c r="H28" s="26"/>
      <c r="I28" s="26"/>
      <c r="J28" s="30"/>
      <c r="K28" s="26"/>
      <c r="L28" s="26"/>
      <c r="M28" s="92"/>
    </row>
    <row r="29" spans="1:15" s="46" customFormat="1" ht="30" customHeight="1" x14ac:dyDescent="0.2">
      <c r="A29" s="93" t="s">
        <v>136</v>
      </c>
      <c r="B29" s="41" t="s">
        <v>62</v>
      </c>
      <c r="C29" s="42" t="s">
        <v>84</v>
      </c>
      <c r="D29" s="42" t="s">
        <v>85</v>
      </c>
      <c r="E29" s="42" t="s">
        <v>58</v>
      </c>
      <c r="F29" s="41" t="s">
        <v>31</v>
      </c>
      <c r="G29" s="41" t="s">
        <v>66</v>
      </c>
      <c r="H29" s="52"/>
      <c r="I29" s="44" t="s">
        <v>81</v>
      </c>
      <c r="J29" s="45" t="s">
        <v>29</v>
      </c>
      <c r="K29" s="41" t="s">
        <v>101</v>
      </c>
      <c r="L29" s="41" t="s">
        <v>4</v>
      </c>
      <c r="M29" s="94" t="s">
        <v>1</v>
      </c>
      <c r="O29" s="80"/>
    </row>
    <row r="30" spans="1:15" s="43" customFormat="1" ht="30" customHeight="1" x14ac:dyDescent="0.25">
      <c r="A30" s="95" t="s">
        <v>219</v>
      </c>
      <c r="B30" s="47">
        <f>IF($A30="Keine Auswahl",0,$B$9)</f>
        <v>200</v>
      </c>
      <c r="C30" s="48">
        <f>VLOOKUP(A30,Putze_Zubehör_Werte,6,FALSE)</f>
        <v>0.4</v>
      </c>
      <c r="D30" s="49">
        <f>B30*C30</f>
        <v>80</v>
      </c>
      <c r="E30" s="49">
        <f>VLOOKUP(A30,Putze_Zubehör_Werte,3,FALSE)</f>
        <v>25</v>
      </c>
      <c r="F30" s="48">
        <f>IF($A30="Keine Auswahl",0,ROUNDUP($D30/$E30,0))</f>
        <v>4</v>
      </c>
      <c r="G30" s="48">
        <f>F30*E30</f>
        <v>100</v>
      </c>
      <c r="I30" s="50">
        <f>IF(A30="Keine Auswahl",VLOOKUP(A30,Putze_Zubehör_Werte,10,FALSE),(VLOOKUP(A30,Grundierung_Staffelung_Timber,5,FALSE)))</f>
        <v>6.03</v>
      </c>
      <c r="J30" s="51">
        <f>IF($A30="Keine Auswahl",0,$B$12)</f>
        <v>0</v>
      </c>
      <c r="K30" s="50">
        <f>I30-(I30*J30)</f>
        <v>6.03</v>
      </c>
      <c r="L30" s="48" t="s">
        <v>7</v>
      </c>
      <c r="M30" s="96">
        <f>E30*F30*K30</f>
        <v>603</v>
      </c>
      <c r="O30" s="80"/>
    </row>
    <row r="31" spans="1:15" s="27" customFormat="1" ht="15" x14ac:dyDescent="0.2">
      <c r="A31" s="91"/>
      <c r="B31" s="26"/>
      <c r="C31" s="26"/>
      <c r="D31" s="26"/>
      <c r="E31" s="26"/>
      <c r="F31" s="26"/>
      <c r="G31" s="26"/>
      <c r="H31" s="26"/>
      <c r="I31" s="26"/>
      <c r="J31" s="30"/>
      <c r="K31" s="26"/>
      <c r="L31" s="26"/>
      <c r="M31" s="92"/>
    </row>
    <row r="32" spans="1:15" s="46" customFormat="1" ht="30" customHeight="1" x14ac:dyDescent="0.2">
      <c r="A32" s="93" t="s">
        <v>163</v>
      </c>
      <c r="B32" s="41" t="s">
        <v>62</v>
      </c>
      <c r="C32" s="42" t="s">
        <v>84</v>
      </c>
      <c r="D32" s="42" t="s">
        <v>85</v>
      </c>
      <c r="E32" s="42" t="s">
        <v>57</v>
      </c>
      <c r="F32" s="41" t="s">
        <v>69</v>
      </c>
      <c r="G32" s="41" t="s">
        <v>66</v>
      </c>
      <c r="H32" s="52"/>
      <c r="I32" s="44" t="s">
        <v>81</v>
      </c>
      <c r="J32" s="45" t="s">
        <v>29</v>
      </c>
      <c r="K32" s="41" t="s">
        <v>101</v>
      </c>
      <c r="L32" s="41" t="s">
        <v>4</v>
      </c>
      <c r="M32" s="94" t="s">
        <v>1</v>
      </c>
      <c r="O32" s="80"/>
    </row>
    <row r="33" spans="1:15" s="43" customFormat="1" ht="30" customHeight="1" x14ac:dyDescent="0.25">
      <c r="A33" s="95" t="s">
        <v>256</v>
      </c>
      <c r="B33" s="47">
        <f>IF($A33="Keine Auswahl",0,$B$9)</f>
        <v>200</v>
      </c>
      <c r="C33" s="48">
        <v>0</v>
      </c>
      <c r="D33" s="49">
        <f>B33*C33</f>
        <v>0</v>
      </c>
      <c r="E33" s="48">
        <v>0</v>
      </c>
      <c r="F33" s="48">
        <v>0</v>
      </c>
      <c r="G33" s="48">
        <v>0</v>
      </c>
      <c r="I33" s="50">
        <f>VLOOKUP(A33,Putze_Zubehör_Werte,10,FALSE)</f>
        <v>1.05</v>
      </c>
      <c r="J33" s="51">
        <f>IF($A33="Keine Auswahl",0,$B$12)</f>
        <v>0</v>
      </c>
      <c r="K33" s="50">
        <f>I33-(I33*J33)</f>
        <v>1.05</v>
      </c>
      <c r="L33" s="48" t="s">
        <v>7</v>
      </c>
      <c r="M33" s="96">
        <f>E30*F30*K33</f>
        <v>105</v>
      </c>
      <c r="O33" s="80"/>
    </row>
    <row r="34" spans="1:15" s="27" customFormat="1" ht="15" x14ac:dyDescent="0.2">
      <c r="A34" s="91"/>
      <c r="B34" s="26"/>
      <c r="C34" s="26"/>
      <c r="D34" s="26"/>
      <c r="E34" s="26"/>
      <c r="F34" s="26"/>
      <c r="G34" s="26"/>
      <c r="H34" s="26"/>
      <c r="I34" s="26"/>
      <c r="J34" s="30"/>
      <c r="K34" s="26"/>
      <c r="L34" s="26"/>
      <c r="M34" s="92"/>
    </row>
    <row r="35" spans="1:15" s="46" customFormat="1" ht="30" customHeight="1" x14ac:dyDescent="0.2">
      <c r="A35" s="93" t="s">
        <v>137</v>
      </c>
      <c r="B35" s="41" t="s">
        <v>62</v>
      </c>
      <c r="C35" s="42" t="s">
        <v>84</v>
      </c>
      <c r="D35" s="42" t="s">
        <v>85</v>
      </c>
      <c r="E35" s="42" t="s">
        <v>57</v>
      </c>
      <c r="F35" s="41" t="s">
        <v>69</v>
      </c>
      <c r="G35" s="41" t="s">
        <v>66</v>
      </c>
      <c r="H35" s="52"/>
      <c r="I35" s="44" t="s">
        <v>81</v>
      </c>
      <c r="J35" s="45" t="s">
        <v>29</v>
      </c>
      <c r="K35" s="41" t="s">
        <v>101</v>
      </c>
      <c r="L35" s="41" t="s">
        <v>4</v>
      </c>
      <c r="M35" s="94" t="s">
        <v>1</v>
      </c>
      <c r="O35" s="80"/>
    </row>
    <row r="36" spans="1:15" s="43" customFormat="1" ht="30" customHeight="1" x14ac:dyDescent="0.25">
      <c r="A36" s="95" t="s">
        <v>150</v>
      </c>
      <c r="B36" s="47">
        <f>IF($A36="Keine Auswahl",0,$B$9)</f>
        <v>200</v>
      </c>
      <c r="C36" s="48">
        <f>VLOOKUP(A36,Putze_Zubehör_Werte,6,FALSE)</f>
        <v>2.8</v>
      </c>
      <c r="D36" s="49">
        <f>B36*C36</f>
        <v>560</v>
      </c>
      <c r="E36" s="49">
        <f>VLOOKUP(A36,Putze_Zubehör_Werte,3,FALSE)</f>
        <v>25</v>
      </c>
      <c r="F36" s="48">
        <f>IF($A36="Keine Auswahl",0,ROUNDUP($D36/$E36,0))</f>
        <v>23</v>
      </c>
      <c r="G36" s="48">
        <f>F36*E36</f>
        <v>575</v>
      </c>
      <c r="I36" s="50">
        <f>VLOOKUP(A36,Putze_Zubehör_Werte,(IF(F36&lt;(VLOOKUP(A36,Putze_Zubehör_Werte,3,FALSE)),10,9)),FALSE)</f>
        <v>3.13</v>
      </c>
      <c r="J36" s="51">
        <f>IF($A36="Keine Auswahl",0,$B$12)</f>
        <v>0</v>
      </c>
      <c r="K36" s="50">
        <f>I36-(I36*J36)</f>
        <v>3.13</v>
      </c>
      <c r="L36" s="48" t="s">
        <v>7</v>
      </c>
      <c r="M36" s="96">
        <f>E36*F36*K36</f>
        <v>1799.75</v>
      </c>
      <c r="O36" s="80"/>
    </row>
    <row r="37" spans="1:15" s="27" customFormat="1" ht="15" x14ac:dyDescent="0.2">
      <c r="A37" s="91"/>
      <c r="B37" s="26"/>
      <c r="C37" s="26"/>
      <c r="D37" s="26"/>
      <c r="E37" s="26"/>
      <c r="F37" s="26"/>
      <c r="G37" s="26"/>
      <c r="H37" s="26"/>
      <c r="I37" s="26"/>
      <c r="J37" s="30"/>
      <c r="K37" s="26"/>
      <c r="L37" s="26"/>
      <c r="M37" s="92"/>
    </row>
    <row r="38" spans="1:15" s="46" customFormat="1" ht="30" customHeight="1" x14ac:dyDescent="0.2">
      <c r="A38" s="93" t="s">
        <v>139</v>
      </c>
      <c r="B38" s="41" t="s">
        <v>62</v>
      </c>
      <c r="C38" s="42" t="s">
        <v>84</v>
      </c>
      <c r="D38" s="42" t="s">
        <v>85</v>
      </c>
      <c r="E38" s="42" t="s">
        <v>57</v>
      </c>
      <c r="F38" s="41" t="s">
        <v>69</v>
      </c>
      <c r="G38" s="41" t="s">
        <v>66</v>
      </c>
      <c r="H38" s="52"/>
      <c r="I38" s="44" t="s">
        <v>81</v>
      </c>
      <c r="J38" s="45" t="s">
        <v>29</v>
      </c>
      <c r="K38" s="41" t="s">
        <v>101</v>
      </c>
      <c r="L38" s="41" t="s">
        <v>4</v>
      </c>
      <c r="M38" s="94" t="s">
        <v>1</v>
      </c>
      <c r="O38" s="80"/>
    </row>
    <row r="39" spans="1:15" s="43" customFormat="1" ht="30" customHeight="1" x14ac:dyDescent="0.25">
      <c r="A39" s="95" t="s">
        <v>253</v>
      </c>
      <c r="B39" s="47">
        <f>IF($A39="Keine Auswahl",0,$B$9)</f>
        <v>200</v>
      </c>
      <c r="C39" s="48">
        <v>0</v>
      </c>
      <c r="D39" s="49">
        <f>B39*C39</f>
        <v>0</v>
      </c>
      <c r="E39" s="48">
        <v>0</v>
      </c>
      <c r="F39" s="48">
        <v>0</v>
      </c>
      <c r="G39" s="48">
        <v>0</v>
      </c>
      <c r="I39" s="50">
        <f>VLOOKUP(A39,Putze_Zubehör_Werte,10,FALSE)</f>
        <v>2.12</v>
      </c>
      <c r="J39" s="51">
        <f>IF($A39="Keine Auswahl",0,$B$12)</f>
        <v>0</v>
      </c>
      <c r="K39" s="50">
        <f>I39-(I39*J39)</f>
        <v>2.12</v>
      </c>
      <c r="L39" s="48" t="s">
        <v>7</v>
      </c>
      <c r="M39" s="96">
        <f>E36*F36*K39</f>
        <v>1219</v>
      </c>
      <c r="O39" s="80"/>
    </row>
    <row r="40" spans="1:15" s="27" customFormat="1" ht="15" x14ac:dyDescent="0.2">
      <c r="A40" s="91"/>
      <c r="B40" s="26"/>
      <c r="C40" s="26"/>
      <c r="D40" s="26"/>
      <c r="E40" s="26"/>
      <c r="F40" s="26"/>
      <c r="G40" s="26"/>
      <c r="H40" s="26"/>
      <c r="I40" s="26"/>
      <c r="J40" s="30"/>
      <c r="K40" s="26"/>
      <c r="L40" s="26"/>
      <c r="M40" s="92"/>
    </row>
    <row r="41" spans="1:15" s="46" customFormat="1" ht="30" customHeight="1" x14ac:dyDescent="0.2">
      <c r="A41" s="93" t="s">
        <v>166</v>
      </c>
      <c r="B41" s="41" t="s">
        <v>62</v>
      </c>
      <c r="C41" s="42" t="s">
        <v>84</v>
      </c>
      <c r="D41" s="42" t="s">
        <v>85</v>
      </c>
      <c r="E41" s="42" t="s">
        <v>57</v>
      </c>
      <c r="F41" s="41" t="s">
        <v>69</v>
      </c>
      <c r="G41" s="41" t="s">
        <v>66</v>
      </c>
      <c r="H41" s="52"/>
      <c r="I41" s="44" t="s">
        <v>81</v>
      </c>
      <c r="J41" s="45" t="s">
        <v>29</v>
      </c>
      <c r="K41" s="41" t="s">
        <v>101</v>
      </c>
      <c r="L41" s="41" t="s">
        <v>4</v>
      </c>
      <c r="M41" s="94" t="s">
        <v>1</v>
      </c>
      <c r="O41" s="80"/>
    </row>
    <row r="42" spans="1:15" s="43" customFormat="1" ht="30" customHeight="1" x14ac:dyDescent="0.25">
      <c r="A42" s="95" t="s">
        <v>96</v>
      </c>
      <c r="B42" s="47">
        <f>IF($A42="Keine Auswahl",0,$B$9)</f>
        <v>0</v>
      </c>
      <c r="C42" s="48">
        <f>VLOOKUP(A42,Putze_Zubehör_Werte,6,FALSE)</f>
        <v>0</v>
      </c>
      <c r="D42" s="49">
        <f>B42*C42</f>
        <v>0</v>
      </c>
      <c r="E42" s="49">
        <f>VLOOKUP(A42,Putze_Zubehör_Werte,3,FALSE)</f>
        <v>0</v>
      </c>
      <c r="F42" s="48">
        <f>IF($A42="Keine Auswahl",0,ROUNDUP($D42/$E42,0))</f>
        <v>0</v>
      </c>
      <c r="G42" s="48">
        <f>F42*E42</f>
        <v>0</v>
      </c>
      <c r="I42" s="50">
        <f>VLOOKUP(A42,Putze_Zubehör_Werte,(IF(F42&lt;(VLOOKUP(A42,Putze_Zubehör_Werte,3,FALSE)),10,9)),FALSE)</f>
        <v>0</v>
      </c>
      <c r="J42" s="51">
        <f>IF($A42="Keine Auswahl",0,$B$12)</f>
        <v>0</v>
      </c>
      <c r="K42" s="50">
        <f>I42-(I42*J42)</f>
        <v>0</v>
      </c>
      <c r="L42" s="48" t="s">
        <v>7</v>
      </c>
      <c r="M42" s="96">
        <f>E42*F42*K42</f>
        <v>0</v>
      </c>
      <c r="O42" s="80"/>
    </row>
    <row r="43" spans="1:15" s="27" customFormat="1" ht="15" x14ac:dyDescent="0.2">
      <c r="A43" s="91"/>
      <c r="B43" s="26"/>
      <c r="C43" s="26"/>
      <c r="D43" s="26"/>
      <c r="E43" s="26"/>
      <c r="F43" s="26"/>
      <c r="G43" s="26"/>
      <c r="H43" s="26"/>
      <c r="I43" s="26"/>
      <c r="J43" s="30"/>
      <c r="K43" s="26"/>
      <c r="L43" s="26"/>
      <c r="M43" s="92"/>
    </row>
    <row r="44" spans="1:15" s="46" customFormat="1" ht="30" customHeight="1" x14ac:dyDescent="0.2">
      <c r="A44" s="93" t="s">
        <v>211</v>
      </c>
      <c r="B44" s="41" t="s">
        <v>62</v>
      </c>
      <c r="C44" s="42" t="s">
        <v>84</v>
      </c>
      <c r="D44" s="42" t="s">
        <v>85</v>
      </c>
      <c r="E44" s="42" t="s">
        <v>57</v>
      </c>
      <c r="F44" s="41" t="s">
        <v>69</v>
      </c>
      <c r="G44" s="41" t="s">
        <v>66</v>
      </c>
      <c r="H44" s="52"/>
      <c r="I44" s="44" t="s">
        <v>81</v>
      </c>
      <c r="J44" s="45" t="s">
        <v>29</v>
      </c>
      <c r="K44" s="41" t="s">
        <v>101</v>
      </c>
      <c r="L44" s="41" t="s">
        <v>4</v>
      </c>
      <c r="M44" s="94" t="s">
        <v>1</v>
      </c>
      <c r="O44" s="80"/>
    </row>
    <row r="45" spans="1:15" s="43" customFormat="1" ht="30" customHeight="1" x14ac:dyDescent="0.25">
      <c r="A45" s="95" t="s">
        <v>96</v>
      </c>
      <c r="B45" s="47">
        <f>IF($A45="Keine Auswahl",0,$B$9)</f>
        <v>0</v>
      </c>
      <c r="C45" s="48">
        <v>0</v>
      </c>
      <c r="D45" s="49">
        <f>B45*C45</f>
        <v>0</v>
      </c>
      <c r="E45" s="48">
        <v>0</v>
      </c>
      <c r="F45" s="48">
        <v>0</v>
      </c>
      <c r="G45" s="48">
        <v>0</v>
      </c>
      <c r="I45" s="50">
        <f>VLOOKUP(A45,Putze_Zubehör_Werte,10,FALSE)</f>
        <v>0</v>
      </c>
      <c r="J45" s="51">
        <f>IF($A45="Keine Auswahl",0,$B$12)</f>
        <v>0</v>
      </c>
      <c r="K45" s="50">
        <f>I45-(I45*J45)</f>
        <v>0</v>
      </c>
      <c r="L45" s="48" t="s">
        <v>7</v>
      </c>
      <c r="M45" s="96">
        <f>E42*F42*K45</f>
        <v>0</v>
      </c>
      <c r="O45" s="80"/>
    </row>
    <row r="46" spans="1:15" s="27" customFormat="1" ht="15" x14ac:dyDescent="0.2">
      <c r="A46" s="91" t="s">
        <v>2</v>
      </c>
      <c r="B46" s="26"/>
      <c r="C46" s="26"/>
      <c r="D46" s="26"/>
      <c r="E46" s="26"/>
      <c r="F46" s="26"/>
      <c r="G46" s="26"/>
      <c r="H46" s="26"/>
      <c r="I46" s="26"/>
      <c r="J46" s="30"/>
      <c r="K46" s="26"/>
      <c r="L46" s="26"/>
      <c r="M46" s="92"/>
    </row>
    <row r="47" spans="1:15" s="46" customFormat="1" ht="30" customHeight="1" x14ac:dyDescent="0.2">
      <c r="A47" s="93" t="s">
        <v>257</v>
      </c>
      <c r="B47" s="41" t="s">
        <v>62</v>
      </c>
      <c r="C47" s="42" t="s">
        <v>88</v>
      </c>
      <c r="D47" s="42" t="s">
        <v>89</v>
      </c>
      <c r="E47" s="42" t="s">
        <v>64</v>
      </c>
      <c r="F47" s="41" t="s">
        <v>31</v>
      </c>
      <c r="G47" s="41" t="s">
        <v>68</v>
      </c>
      <c r="H47" s="52"/>
      <c r="I47" s="44" t="s">
        <v>81</v>
      </c>
      <c r="J47" s="45" t="s">
        <v>29</v>
      </c>
      <c r="K47" s="41" t="s">
        <v>101</v>
      </c>
      <c r="L47" s="41" t="s">
        <v>4</v>
      </c>
      <c r="M47" s="94" t="s">
        <v>1</v>
      </c>
      <c r="O47" s="80"/>
    </row>
    <row r="48" spans="1:15" s="43" customFormat="1" ht="30" customHeight="1" x14ac:dyDescent="0.25">
      <c r="A48" s="95" t="s">
        <v>162</v>
      </c>
      <c r="B48" s="47">
        <f>IF($A48="Keine Auswahl",0,$B$9)</f>
        <v>200</v>
      </c>
      <c r="C48" s="48">
        <f>VLOOKUP(A48,Putze_Zubehör_Werte,6,FALSE)</f>
        <v>0.4</v>
      </c>
      <c r="D48" s="49">
        <f>B48*C48</f>
        <v>80</v>
      </c>
      <c r="E48" s="49">
        <f>VLOOKUP(A48,Putze_Zubehör_Werte,3,FALSE)</f>
        <v>15</v>
      </c>
      <c r="F48" s="48">
        <f>IF($A48="Keine Auswahl",0,ROUNDUP($D48/$E48,0))</f>
        <v>6</v>
      </c>
      <c r="G48" s="48">
        <f>F48*E48</f>
        <v>90</v>
      </c>
      <c r="I48" s="50">
        <f>IF(A48="Keine Auswahl",VLOOKUP(A48,Putze_Zubehör_Werte,10,FALSE),(VLOOKUP(A48,Schlussanstrich_Staffelung_Timber,5,FALSE)))</f>
        <v>17.510000000000002</v>
      </c>
      <c r="J48" s="51">
        <f>IF($A48="Keine Auswahl",0,$B$12)</f>
        <v>0</v>
      </c>
      <c r="K48" s="50">
        <f>I48-(I48*J48)</f>
        <v>17.510000000000002</v>
      </c>
      <c r="L48" s="48" t="s">
        <v>11</v>
      </c>
      <c r="M48" s="96">
        <f>E48*F48*K48</f>
        <v>1575.9</v>
      </c>
      <c r="O48" s="80"/>
    </row>
    <row r="49" spans="1:15" s="27" customFormat="1" ht="15" x14ac:dyDescent="0.2">
      <c r="A49" s="91"/>
      <c r="B49" s="26"/>
      <c r="C49" s="26"/>
      <c r="D49" s="26"/>
      <c r="E49" s="26"/>
      <c r="F49" s="26"/>
      <c r="G49" s="26"/>
      <c r="H49" s="26"/>
      <c r="I49" s="26"/>
      <c r="J49" s="30"/>
      <c r="K49" s="26"/>
      <c r="L49" s="26"/>
      <c r="M49" s="92"/>
    </row>
    <row r="50" spans="1:15" s="46" customFormat="1" ht="30" customHeight="1" x14ac:dyDescent="0.2">
      <c r="A50" s="93" t="s">
        <v>138</v>
      </c>
      <c r="B50" s="41" t="s">
        <v>62</v>
      </c>
      <c r="C50" s="42" t="s">
        <v>88</v>
      </c>
      <c r="D50" s="42" t="s">
        <v>89</v>
      </c>
      <c r="E50" s="42" t="s">
        <v>64</v>
      </c>
      <c r="F50" s="41" t="s">
        <v>31</v>
      </c>
      <c r="G50" s="41" t="s">
        <v>68</v>
      </c>
      <c r="H50" s="52"/>
      <c r="I50" s="44" t="s">
        <v>81</v>
      </c>
      <c r="J50" s="45" t="s">
        <v>29</v>
      </c>
      <c r="K50" s="41" t="s">
        <v>101</v>
      </c>
      <c r="L50" s="41" t="s">
        <v>4</v>
      </c>
      <c r="M50" s="94" t="s">
        <v>1</v>
      </c>
      <c r="O50" s="80"/>
    </row>
    <row r="51" spans="1:15" s="43" customFormat="1" ht="30" customHeight="1" x14ac:dyDescent="0.25">
      <c r="A51" s="95" t="s">
        <v>255</v>
      </c>
      <c r="B51" s="47">
        <f>IF($A51="Keine Auswahl",0,$B$9)</f>
        <v>200</v>
      </c>
      <c r="C51" s="48">
        <v>0</v>
      </c>
      <c r="D51" s="49">
        <f>B51*C51</f>
        <v>0</v>
      </c>
      <c r="E51" s="48">
        <v>0</v>
      </c>
      <c r="F51" s="48">
        <v>0</v>
      </c>
      <c r="G51" s="48">
        <v>0</v>
      </c>
      <c r="I51" s="50">
        <f>VLOOKUP(A51,Putze_Zubehör_Werte,10,FALSE)</f>
        <v>5.22</v>
      </c>
      <c r="J51" s="51">
        <f>IF($A51="Keine Auswahl",0,$B$12)</f>
        <v>0</v>
      </c>
      <c r="K51" s="50">
        <f>I51-(I51*J51)</f>
        <v>5.22</v>
      </c>
      <c r="L51" s="48" t="s">
        <v>11</v>
      </c>
      <c r="M51" s="96">
        <f>E48*F48*K51</f>
        <v>469.79999999999995</v>
      </c>
      <c r="O51" s="80"/>
    </row>
    <row r="52" spans="1:15" s="27" customFormat="1" ht="15.75" thickBot="1" x14ac:dyDescent="0.25">
      <c r="B52" s="26"/>
      <c r="C52" s="26"/>
      <c r="D52" s="26"/>
      <c r="E52" s="26"/>
      <c r="F52" s="26"/>
      <c r="G52" s="26"/>
      <c r="H52" s="26"/>
      <c r="I52" s="26"/>
      <c r="J52" s="30"/>
      <c r="K52" s="26"/>
      <c r="L52" s="26"/>
      <c r="M52" s="26"/>
      <c r="O52" s="80"/>
    </row>
    <row r="53" spans="1:15" s="27" customFormat="1" ht="36" customHeight="1" x14ac:dyDescent="0.2">
      <c r="A53" s="242" t="s">
        <v>133</v>
      </c>
      <c r="B53" s="243"/>
      <c r="C53" s="243"/>
      <c r="D53" s="243"/>
      <c r="E53" s="243"/>
      <c r="F53" s="243"/>
      <c r="G53" s="243"/>
      <c r="H53" s="243"/>
      <c r="I53" s="243"/>
      <c r="J53" s="243"/>
      <c r="K53" s="243"/>
      <c r="L53" s="243"/>
      <c r="M53" s="244"/>
      <c r="O53" s="80"/>
    </row>
    <row r="54" spans="1:15" s="27" customFormat="1" ht="15" x14ac:dyDescent="0.2">
      <c r="A54" s="91"/>
      <c r="B54" s="26"/>
      <c r="C54" s="26"/>
      <c r="D54" s="26"/>
      <c r="E54" s="26"/>
      <c r="F54" s="26"/>
      <c r="G54" s="26"/>
      <c r="H54" s="26"/>
      <c r="I54" s="26"/>
      <c r="J54" s="30"/>
      <c r="K54" s="26"/>
      <c r="L54" s="26"/>
      <c r="M54" s="92"/>
    </row>
    <row r="55" spans="1:15" s="46" customFormat="1" ht="30" customHeight="1" x14ac:dyDescent="0.2">
      <c r="A55" s="93" t="s">
        <v>52</v>
      </c>
      <c r="B55" s="41" t="s">
        <v>62</v>
      </c>
      <c r="C55" s="42" t="s">
        <v>86</v>
      </c>
      <c r="D55" s="42" t="s">
        <v>87</v>
      </c>
      <c r="E55" s="42" t="s">
        <v>56</v>
      </c>
      <c r="F55" s="41" t="s">
        <v>59</v>
      </c>
      <c r="G55" s="41" t="s">
        <v>67</v>
      </c>
      <c r="H55" s="52"/>
      <c r="I55" s="44" t="s">
        <v>81</v>
      </c>
      <c r="J55" s="45" t="s">
        <v>29</v>
      </c>
      <c r="K55" s="41" t="s">
        <v>101</v>
      </c>
      <c r="L55" s="41" t="s">
        <v>4</v>
      </c>
      <c r="M55" s="94" t="s">
        <v>1</v>
      </c>
      <c r="O55" s="80"/>
    </row>
    <row r="56" spans="1:15" s="43" customFormat="1" ht="30" customHeight="1" x14ac:dyDescent="0.25">
      <c r="A56" s="95" t="s">
        <v>245</v>
      </c>
      <c r="B56" s="47">
        <f>IF($A56="Keine Auswahl",0,$B$10)</f>
        <v>20</v>
      </c>
      <c r="C56" s="48">
        <f>VLOOKUP(A56,Putze_Zubehör_Werte,6,FALSE)</f>
        <v>1</v>
      </c>
      <c r="D56" s="49">
        <f>B56*C56</f>
        <v>20</v>
      </c>
      <c r="E56" s="49">
        <f>VLOOKUP(A56,Putze_Zubehör_Werte,3,FALSE)</f>
        <v>50</v>
      </c>
      <c r="F56" s="48">
        <f>IF($A56="Keine Auswahl",0,ROUNDUP($D56/$E56,0))</f>
        <v>1</v>
      </c>
      <c r="G56" s="48">
        <f>F56*E56</f>
        <v>50</v>
      </c>
      <c r="I56" s="50">
        <f>IF(A56="Keine Auswahl",VLOOKUP(A56,Putze_Zubehör_Werte,10,FALSE),(VLOOKUP(A56,Gewebe_Staffelung_Timber,5,FALSE)))</f>
        <v>3.4</v>
      </c>
      <c r="J56" s="51">
        <f>IF($A56="Keine Auswahl",0,$B$12)</f>
        <v>0</v>
      </c>
      <c r="K56" s="50">
        <f>I56-(I56*J56)</f>
        <v>3.4</v>
      </c>
      <c r="L56" s="48" t="s">
        <v>3</v>
      </c>
      <c r="M56" s="96">
        <f>E56*F56*K56</f>
        <v>170</v>
      </c>
      <c r="O56" s="80"/>
    </row>
    <row r="57" spans="1:15" s="27" customFormat="1" ht="15" x14ac:dyDescent="0.2">
      <c r="A57" s="91"/>
      <c r="B57" s="26"/>
      <c r="C57" s="26"/>
      <c r="D57" s="26"/>
      <c r="E57" s="26"/>
      <c r="F57" s="26"/>
      <c r="G57" s="26"/>
      <c r="H57" s="26"/>
      <c r="I57" s="26"/>
      <c r="J57" s="30"/>
      <c r="K57" s="26"/>
      <c r="L57" s="26"/>
      <c r="M57" s="92"/>
    </row>
    <row r="58" spans="1:15" s="46" customFormat="1" ht="30" customHeight="1" x14ac:dyDescent="0.2">
      <c r="A58" s="93" t="s">
        <v>135</v>
      </c>
      <c r="B58" s="41" t="s">
        <v>62</v>
      </c>
      <c r="C58" s="42" t="s">
        <v>84</v>
      </c>
      <c r="D58" s="42" t="s">
        <v>85</v>
      </c>
      <c r="E58" s="42" t="s">
        <v>57</v>
      </c>
      <c r="F58" s="41" t="s">
        <v>69</v>
      </c>
      <c r="G58" s="41" t="s">
        <v>66</v>
      </c>
      <c r="H58" s="52"/>
      <c r="I58" s="44" t="s">
        <v>81</v>
      </c>
      <c r="J58" s="45" t="s">
        <v>29</v>
      </c>
      <c r="K58" s="41" t="s">
        <v>101</v>
      </c>
      <c r="L58" s="41" t="s">
        <v>4</v>
      </c>
      <c r="M58" s="94" t="s">
        <v>1</v>
      </c>
      <c r="O58" s="80"/>
    </row>
    <row r="59" spans="1:15" s="43" customFormat="1" ht="30" customHeight="1" x14ac:dyDescent="0.25">
      <c r="A59" s="95" t="s">
        <v>171</v>
      </c>
      <c r="B59" s="47">
        <f>IF($A59="Keine Auswahl",0,$B$10)</f>
        <v>20</v>
      </c>
      <c r="C59" s="48">
        <f>VLOOKUP(A59,Putze_Zubehör_Werte,6,FALSE)</f>
        <v>7</v>
      </c>
      <c r="D59" s="49">
        <f>B59*C59</f>
        <v>140</v>
      </c>
      <c r="E59" s="49">
        <f>VLOOKUP(A59,Putze_Zubehör_Werte,3,FALSE)</f>
        <v>25</v>
      </c>
      <c r="F59" s="48">
        <f>IF($A59="Keine Auswahl",0,ROUNDUP($D59/$E59,0))</f>
        <v>6</v>
      </c>
      <c r="G59" s="48">
        <f>F59*E59</f>
        <v>150</v>
      </c>
      <c r="I59" s="50">
        <f>VLOOKUP(A59,Putze_Zubehör_Werte,10,FALSE)</f>
        <v>3.84</v>
      </c>
      <c r="J59" s="51">
        <f>IF($A59="Keine Auswahl",0,$B$12)</f>
        <v>0</v>
      </c>
      <c r="K59" s="50">
        <f>I59-(I59*J59)</f>
        <v>3.84</v>
      </c>
      <c r="L59" s="48" t="s">
        <v>7</v>
      </c>
      <c r="M59" s="96">
        <f>E59*F59*K59</f>
        <v>576</v>
      </c>
      <c r="O59" s="80"/>
    </row>
    <row r="60" spans="1:15" s="27" customFormat="1" ht="15" x14ac:dyDescent="0.2">
      <c r="A60" s="91"/>
      <c r="B60" s="26"/>
      <c r="C60" s="26"/>
      <c r="D60" s="26"/>
      <c r="E60" s="26"/>
      <c r="F60" s="26"/>
      <c r="G60" s="26"/>
      <c r="H60" s="26"/>
      <c r="I60" s="26"/>
      <c r="J60" s="30"/>
      <c r="K60" s="26"/>
      <c r="L60" s="26"/>
      <c r="M60" s="92"/>
    </row>
    <row r="61" spans="1:15" s="46" customFormat="1" ht="30" customHeight="1" x14ac:dyDescent="0.2">
      <c r="A61" s="93" t="s">
        <v>137</v>
      </c>
      <c r="B61" s="41" t="s">
        <v>62</v>
      </c>
      <c r="C61" s="42" t="s">
        <v>84</v>
      </c>
      <c r="D61" s="42" t="s">
        <v>85</v>
      </c>
      <c r="E61" s="42" t="s">
        <v>57</v>
      </c>
      <c r="F61" s="41" t="s">
        <v>69</v>
      </c>
      <c r="G61" s="41" t="s">
        <v>66</v>
      </c>
      <c r="H61" s="52"/>
      <c r="I61" s="44" t="s">
        <v>81</v>
      </c>
      <c r="J61" s="45" t="s">
        <v>29</v>
      </c>
      <c r="K61" s="41" t="s">
        <v>101</v>
      </c>
      <c r="L61" s="41" t="s">
        <v>4</v>
      </c>
      <c r="M61" s="94" t="s">
        <v>1</v>
      </c>
      <c r="O61" s="80"/>
    </row>
    <row r="62" spans="1:15" s="43" customFormat="1" ht="30" customHeight="1" thickBot="1" x14ac:dyDescent="0.3">
      <c r="A62" s="98" t="s">
        <v>170</v>
      </c>
      <c r="B62" s="99">
        <f>IF($A62="Keine Auswahl",0,$B$10)</f>
        <v>20</v>
      </c>
      <c r="C62" s="100">
        <f>VLOOKUP(A62,Putze_Zubehör_Werte,6,FALSE)</f>
        <v>1.5</v>
      </c>
      <c r="D62" s="101">
        <f>B62*C62</f>
        <v>30</v>
      </c>
      <c r="E62" s="101">
        <f>VLOOKUP(A62,Putze_Zubehör_Werte,3,FALSE)</f>
        <v>25</v>
      </c>
      <c r="F62" s="100">
        <f>IF($A62="Keine Auswahl",0,ROUNDUP($D62/$E62,0))</f>
        <v>2</v>
      </c>
      <c r="G62" s="100">
        <f>F62*E62</f>
        <v>50</v>
      </c>
      <c r="H62" s="102"/>
      <c r="I62" s="103">
        <f>VLOOKUP(A62,Putze_Zubehör_Werte,10,FALSE)</f>
        <v>3.13</v>
      </c>
      <c r="J62" s="104">
        <f>IF($A62="Keine Auswahl",0,$B$12)</f>
        <v>0</v>
      </c>
      <c r="K62" s="103">
        <f>I62-(I62*J62)</f>
        <v>3.13</v>
      </c>
      <c r="L62" s="100" t="s">
        <v>7</v>
      </c>
      <c r="M62" s="105">
        <f>E62*F62*K62</f>
        <v>156.5</v>
      </c>
      <c r="O62" s="80"/>
    </row>
    <row r="63" spans="1:15" customFormat="1" ht="15" x14ac:dyDescent="0.25"/>
    <row r="64" spans="1:15" s="27" customFormat="1" ht="15.75" thickBot="1" x14ac:dyDescent="0.25">
      <c r="J64" s="35"/>
      <c r="M64" s="26"/>
    </row>
    <row r="65" spans="1:13" ht="15.75" thickBot="1" x14ac:dyDescent="0.25">
      <c r="B65" s="24"/>
      <c r="C65" s="24"/>
      <c r="D65" s="24"/>
      <c r="E65" s="24"/>
      <c r="F65" s="24"/>
      <c r="G65" s="24"/>
      <c r="H65" s="24"/>
      <c r="I65" s="53" t="s">
        <v>77</v>
      </c>
      <c r="J65" s="54"/>
      <c r="K65" s="55"/>
      <c r="L65" s="56"/>
      <c r="M65" s="57">
        <f>SUM(M17:M63)</f>
        <v>16122.508099999999</v>
      </c>
    </row>
    <row r="66" spans="1:13" ht="15.75" thickBot="1" x14ac:dyDescent="0.3">
      <c r="B66" s="24"/>
      <c r="C66" s="24"/>
      <c r="D66" s="24"/>
      <c r="E66" s="24"/>
      <c r="F66" s="24"/>
      <c r="G66" s="24"/>
      <c r="H66" s="24"/>
      <c r="I66" s="58" t="s">
        <v>134</v>
      </c>
      <c r="J66" s="59">
        <v>0.19</v>
      </c>
      <c r="K66" s="60"/>
      <c r="L66" s="61"/>
      <c r="M66" s="62">
        <f>M65/1*J66</f>
        <v>3063.276539</v>
      </c>
    </row>
    <row r="67" spans="1:13" ht="15.75" thickBot="1" x14ac:dyDescent="0.25">
      <c r="B67" s="24"/>
      <c r="C67" s="24"/>
      <c r="D67" s="24"/>
      <c r="E67" s="24"/>
      <c r="F67" s="24"/>
      <c r="G67" s="24"/>
      <c r="H67" s="24"/>
      <c r="I67" s="63" t="s">
        <v>78</v>
      </c>
      <c r="J67" s="64"/>
      <c r="K67" s="65"/>
      <c r="L67" s="66"/>
      <c r="M67" s="67">
        <f>SUM(M65:M66)</f>
        <v>19185.784638999998</v>
      </c>
    </row>
    <row r="68" spans="1:13" s="83" customFormat="1" ht="12.75" x14ac:dyDescent="0.2">
      <c r="A68" s="123" t="s">
        <v>75</v>
      </c>
      <c r="B68" s="81"/>
      <c r="C68" s="43"/>
      <c r="D68" s="43"/>
      <c r="E68" s="43"/>
      <c r="F68" s="43"/>
      <c r="G68" s="43"/>
      <c r="H68" s="43"/>
      <c r="I68" s="46"/>
      <c r="J68" s="82"/>
      <c r="K68" s="46"/>
      <c r="L68" s="46"/>
      <c r="M68" s="43"/>
    </row>
    <row r="69" spans="1:13" s="83" customFormat="1" ht="12.75" x14ac:dyDescent="0.2">
      <c r="A69" s="84" t="s">
        <v>125</v>
      </c>
      <c r="B69" s="81"/>
      <c r="C69" s="43"/>
      <c r="D69" s="43"/>
      <c r="E69" s="43"/>
      <c r="F69" s="43"/>
      <c r="G69" s="43"/>
      <c r="H69" s="43"/>
      <c r="I69" s="46"/>
      <c r="J69" s="82"/>
      <c r="K69" s="46"/>
      <c r="L69" s="46"/>
      <c r="M69" s="43"/>
    </row>
    <row r="70" spans="1:13" s="83" customFormat="1" ht="12.75" x14ac:dyDescent="0.2">
      <c r="A70" s="85"/>
      <c r="B70" s="81"/>
      <c r="C70" s="43"/>
      <c r="D70" s="43"/>
      <c r="E70" s="43"/>
      <c r="F70" s="43"/>
      <c r="G70" s="43"/>
      <c r="H70" s="43"/>
      <c r="I70" s="46"/>
      <c r="J70" s="82"/>
      <c r="K70" s="46"/>
      <c r="L70" s="46"/>
      <c r="M70" s="43"/>
    </row>
    <row r="71" spans="1:13" s="83" customFormat="1" ht="12.75" x14ac:dyDescent="0.2">
      <c r="A71" s="124" t="s">
        <v>209</v>
      </c>
      <c r="B71" s="81"/>
      <c r="C71" s="43"/>
      <c r="D71" s="43"/>
      <c r="E71" s="43"/>
      <c r="F71" s="43"/>
      <c r="G71" s="43"/>
      <c r="H71" s="43"/>
      <c r="I71" s="43"/>
      <c r="J71" s="74"/>
      <c r="K71" s="43"/>
      <c r="L71" s="43"/>
      <c r="M71" s="43"/>
    </row>
    <row r="72" spans="1:13" s="83" customFormat="1" ht="12.75" x14ac:dyDescent="0.2">
      <c r="A72" s="125" t="s">
        <v>276</v>
      </c>
      <c r="B72" s="121"/>
      <c r="C72" s="122"/>
      <c r="D72" s="122"/>
      <c r="E72" s="122"/>
      <c r="F72" s="122"/>
      <c r="G72" s="43"/>
      <c r="H72" s="43"/>
      <c r="I72" s="43"/>
      <c r="J72" s="74"/>
      <c r="K72" s="43"/>
      <c r="L72" s="43"/>
      <c r="M72" s="43"/>
    </row>
    <row r="73" spans="1:13" s="83" customFormat="1" ht="12.75" x14ac:dyDescent="0.2">
      <c r="A73" s="85" t="s">
        <v>79</v>
      </c>
      <c r="B73" s="43"/>
      <c r="C73" s="43"/>
      <c r="D73" s="43"/>
      <c r="E73" s="43"/>
      <c r="F73" s="43"/>
      <c r="G73" s="43"/>
      <c r="H73" s="43"/>
      <c r="I73" s="43"/>
      <c r="J73" s="74"/>
      <c r="K73" s="43"/>
      <c r="L73" s="43"/>
      <c r="M73" s="43"/>
    </row>
    <row r="74" spans="1:13" s="83" customFormat="1" ht="26.1" customHeight="1" x14ac:dyDescent="0.2">
      <c r="A74" s="239" t="s">
        <v>208</v>
      </c>
      <c r="B74" s="239"/>
      <c r="C74" s="43"/>
      <c r="D74" s="43"/>
      <c r="E74" s="43"/>
      <c r="F74" s="43"/>
      <c r="G74" s="43"/>
      <c r="H74" s="43"/>
      <c r="I74" s="43"/>
      <c r="J74" s="74"/>
      <c r="K74" s="43"/>
      <c r="L74" s="43"/>
      <c r="M74" s="43"/>
    </row>
    <row r="75" spans="1:13" s="83" customFormat="1" ht="12.75" x14ac:dyDescent="0.2">
      <c r="A75" s="125" t="s">
        <v>76</v>
      </c>
      <c r="B75" s="43"/>
      <c r="C75" s="43"/>
      <c r="D75" s="43"/>
      <c r="E75" s="43"/>
      <c r="F75" s="43"/>
      <c r="G75" s="43"/>
      <c r="H75" s="43"/>
      <c r="I75" s="43"/>
      <c r="J75" s="74"/>
      <c r="K75" s="43"/>
      <c r="L75" s="43"/>
      <c r="M75" s="43"/>
    </row>
    <row r="76" spans="1:13" s="83" customFormat="1" ht="12.75" x14ac:dyDescent="0.2">
      <c r="A76" s="85" t="s">
        <v>94</v>
      </c>
      <c r="B76" s="43"/>
      <c r="C76" s="43"/>
      <c r="D76" s="43"/>
      <c r="E76" s="43"/>
      <c r="F76" s="43"/>
      <c r="G76" s="43"/>
      <c r="H76" s="43"/>
      <c r="I76" s="43"/>
      <c r="J76" s="74"/>
      <c r="K76" s="43"/>
      <c r="L76" s="43"/>
      <c r="M76" s="43"/>
    </row>
    <row r="77" spans="1:13" s="83" customFormat="1" ht="12.75" x14ac:dyDescent="0.2">
      <c r="A77" s="239" t="s">
        <v>210</v>
      </c>
      <c r="B77" s="239"/>
      <c r="C77" s="43"/>
      <c r="D77" s="43"/>
      <c r="E77" s="43"/>
      <c r="F77" s="43"/>
      <c r="G77" s="43"/>
      <c r="H77" s="43"/>
      <c r="I77" s="43"/>
      <c r="J77" s="74"/>
      <c r="K77" s="43"/>
      <c r="L77" s="43"/>
      <c r="M77" s="43"/>
    </row>
    <row r="78" spans="1:13" s="83" customFormat="1" ht="12.75" x14ac:dyDescent="0.2">
      <c r="A78" s="86"/>
      <c r="B78" s="86"/>
      <c r="C78" s="43"/>
      <c r="D78" s="43"/>
      <c r="E78" s="43"/>
      <c r="F78" s="43"/>
      <c r="G78" s="43"/>
      <c r="H78" s="43"/>
      <c r="I78" s="43"/>
      <c r="J78" s="74"/>
      <c r="K78" s="43"/>
      <c r="L78" s="43"/>
      <c r="M78" s="43"/>
    </row>
    <row r="79" spans="1:13" s="83" customFormat="1" ht="12.75" x14ac:dyDescent="0.2">
      <c r="A79" s="124" t="s">
        <v>124</v>
      </c>
      <c r="B79" s="43"/>
      <c r="C79" s="43"/>
      <c r="D79" s="43"/>
      <c r="E79" s="43"/>
      <c r="F79" s="43"/>
      <c r="G79" s="43"/>
      <c r="H79" s="43"/>
      <c r="I79" s="43"/>
      <c r="J79" s="74"/>
      <c r="K79" s="43"/>
      <c r="L79" s="43"/>
      <c r="M79" s="43"/>
    </row>
    <row r="80" spans="1:13" s="83" customFormat="1" ht="12.75" x14ac:dyDescent="0.2">
      <c r="A80" s="239" t="s">
        <v>126</v>
      </c>
      <c r="B80" s="239"/>
      <c r="C80" s="239"/>
      <c r="D80" s="239"/>
      <c r="E80" s="239"/>
      <c r="F80" s="239"/>
      <c r="G80" s="239"/>
      <c r="H80" s="43"/>
      <c r="I80" s="43"/>
      <c r="J80" s="74"/>
      <c r="K80" s="43"/>
      <c r="L80" s="43"/>
      <c r="M80" s="43"/>
    </row>
    <row r="81" spans="1:13" s="83" customFormat="1" ht="12.75" x14ac:dyDescent="0.2">
      <c r="A81" s="239"/>
      <c r="B81" s="239"/>
      <c r="C81" s="239"/>
      <c r="D81" s="239"/>
      <c r="E81" s="239"/>
      <c r="F81" s="239"/>
      <c r="G81" s="239"/>
      <c r="H81" s="43"/>
      <c r="I81" s="43"/>
      <c r="J81" s="74"/>
      <c r="K81" s="43"/>
      <c r="L81" s="43"/>
      <c r="M81" s="43"/>
    </row>
    <row r="82" spans="1:13" s="83" customFormat="1" ht="16.5" customHeight="1" x14ac:dyDescent="0.2">
      <c r="A82" s="87"/>
      <c r="B82" s="88"/>
      <c r="C82" s="88"/>
      <c r="D82" s="88"/>
      <c r="E82" s="88"/>
      <c r="F82" s="88"/>
      <c r="G82" s="88"/>
      <c r="H82" s="88"/>
      <c r="I82" s="88"/>
      <c r="J82" s="89"/>
      <c r="K82" s="88"/>
      <c r="L82" s="88"/>
      <c r="M82" s="43"/>
    </row>
    <row r="83" spans="1:13" s="83" customFormat="1" ht="18" customHeight="1" x14ac:dyDescent="0.2">
      <c r="A83" s="239" t="s">
        <v>111</v>
      </c>
      <c r="B83" s="239"/>
      <c r="C83" s="239"/>
      <c r="D83" s="239"/>
      <c r="E83" s="239"/>
      <c r="F83" s="239"/>
      <c r="G83" s="239"/>
      <c r="H83" s="239"/>
      <c r="I83" s="239"/>
      <c r="J83" s="239"/>
      <c r="K83" s="43"/>
      <c r="L83" s="43"/>
      <c r="M83" s="43"/>
    </row>
    <row r="84" spans="1:13" s="83" customFormat="1" ht="61.5" customHeight="1" x14ac:dyDescent="0.2">
      <c r="A84" s="238" t="s">
        <v>207</v>
      </c>
      <c r="B84" s="238"/>
      <c r="C84" s="238"/>
      <c r="D84" s="238"/>
      <c r="E84" s="238"/>
      <c r="F84" s="238"/>
      <c r="G84" s="238"/>
      <c r="H84" s="238"/>
      <c r="I84" s="238"/>
      <c r="J84" s="238"/>
      <c r="K84" s="43"/>
      <c r="L84" s="43"/>
      <c r="M84" s="43"/>
    </row>
    <row r="85" spans="1:13" s="83" customFormat="1" ht="12.75" x14ac:dyDescent="0.2">
      <c r="A85" s="86"/>
      <c r="B85" s="43"/>
      <c r="C85" s="43"/>
      <c r="D85" s="43"/>
      <c r="E85" s="43"/>
      <c r="F85" s="43"/>
      <c r="G85" s="43"/>
      <c r="H85" s="43"/>
      <c r="I85" s="43"/>
      <c r="J85" s="74"/>
      <c r="K85" s="43"/>
      <c r="L85" s="43"/>
      <c r="M85" s="43"/>
    </row>
    <row r="86" spans="1:13" s="83" customFormat="1" ht="12.75" x14ac:dyDescent="0.2">
      <c r="A86" s="90" t="s">
        <v>278</v>
      </c>
      <c r="B86" s="43"/>
      <c r="C86" s="43"/>
      <c r="D86" s="43"/>
      <c r="E86" s="43"/>
      <c r="F86" s="43"/>
      <c r="G86" s="43"/>
      <c r="H86" s="43"/>
      <c r="I86" s="43"/>
      <c r="J86" s="74"/>
      <c r="K86" s="43"/>
      <c r="L86" s="43"/>
      <c r="M86" s="43"/>
    </row>
    <row r="87" spans="1:13" s="28" customFormat="1" x14ac:dyDescent="0.2">
      <c r="B87" s="25"/>
      <c r="C87" s="25"/>
      <c r="D87" s="25"/>
      <c r="E87" s="25"/>
      <c r="F87" s="25"/>
      <c r="G87" s="25"/>
      <c r="H87" s="25"/>
      <c r="I87" s="25"/>
      <c r="J87" s="29"/>
      <c r="K87" s="25"/>
      <c r="L87" s="25"/>
      <c r="M87" s="25"/>
    </row>
    <row r="92" spans="1:13" x14ac:dyDescent="0.2">
      <c r="B92" s="24"/>
    </row>
  </sheetData>
  <sheetProtection algorithmName="SHA-512" hashValue="diPahWVf0VLbL2a5uMW2CiLn1DUeAGRVkUIJbgtOi310cc8bZDYWrJxSwg2V9bzbtv8Ue+jwBSX5QwaENgNXdw==" saltValue="BBJXvT7HnujFAQc4umVXcQ==" spinCount="100000" sheet="1" objects="1" scenarios="1" selectLockedCells="1"/>
  <protectedRanges>
    <protectedRange password="DF93" sqref="L9:M12" name="Kontaktdaten"/>
    <protectedRange password="DF93" sqref="A18:A19 A54:A63 A21:A23 A25:A48 A50:A51" name="Auswahl Variante"/>
    <protectedRange password="DF93" sqref="B9:B12" name="Putzfläche Rabatt"/>
    <protectedRange password="DF93" sqref="B13" name="Putzfläche Rabatt_1"/>
  </protectedRanges>
  <mergeCells count="11">
    <mergeCell ref="L9:M9"/>
    <mergeCell ref="L10:M10"/>
    <mergeCell ref="L11:M11"/>
    <mergeCell ref="A80:G81"/>
    <mergeCell ref="A83:J83"/>
    <mergeCell ref="A84:J84"/>
    <mergeCell ref="A77:B77"/>
    <mergeCell ref="L12:M12"/>
    <mergeCell ref="A15:M15"/>
    <mergeCell ref="A53:M53"/>
    <mergeCell ref="A74:B74"/>
  </mergeCells>
  <dataValidations count="13">
    <dataValidation type="list" allowBlank="1" showInputMessage="1" showErrorMessage="1" sqref="A27">
      <formula1>Gewebe_Fassade_Name</formula1>
    </dataValidation>
    <dataValidation type="list" allowBlank="1" showInputMessage="1" showErrorMessage="1" sqref="A30">
      <formula1>Grundierung_Name</formula1>
    </dataValidation>
    <dataValidation type="list" allowBlank="1" showInputMessage="1" showErrorMessage="1" sqref="A42">
      <formula1>Oberputze_Name_2</formula1>
    </dataValidation>
    <dataValidation type="list" allowBlank="1" showInputMessage="1" showErrorMessage="1" sqref="A48">
      <formula1>Schlussanstrich_Name</formula1>
    </dataValidation>
    <dataValidation type="list" allowBlank="1" showInputMessage="1" showErrorMessage="1" sqref="A33 A39 A45">
      <formula1>Farbtonzuschlag_Beschichtung_Name</formula1>
    </dataValidation>
    <dataValidation type="list" allowBlank="1" showInputMessage="1" showErrorMessage="1" sqref="A21">
      <formula1>Befestigung_Timber_Name</formula1>
    </dataValidation>
    <dataValidation type="list" allowBlank="1" showInputMessage="1" showErrorMessage="1" sqref="A18">
      <formula1>Platten_Timber_Name</formula1>
    </dataValidation>
    <dataValidation type="list" allowBlank="1" showInputMessage="1" showErrorMessage="1" sqref="A59">
      <formula1>Sockel_Armieren_Kleben_Name</formula1>
    </dataValidation>
    <dataValidation type="list" allowBlank="1" showInputMessage="1" showErrorMessage="1" sqref="A36">
      <formula1>Oberputze_Name_1</formula1>
    </dataValidation>
    <dataValidation type="list" allowBlank="1" showInputMessage="1" showErrorMessage="1" sqref="A62">
      <formula1>Sockel_Oberputz_Name</formula1>
    </dataValidation>
    <dataValidation type="list" allowBlank="1" showInputMessage="1" showErrorMessage="1" sqref="A24">
      <formula1>Armierung_Name</formula1>
    </dataValidation>
    <dataValidation type="list" allowBlank="1" showInputMessage="1" showErrorMessage="1" sqref="A56">
      <formula1>Gewebe_Sockel_Name</formula1>
    </dataValidation>
    <dataValidation type="list" allowBlank="1" showInputMessage="1" showErrorMessage="1" sqref="A51">
      <formula1>Farbtonzuschlag_Anstrich_Name</formula1>
    </dataValidation>
  </dataValidations>
  <pageMargins left="0.79" right="0.70866141732283472" top="0.98" bottom="0.23622047244094491" header="0.15748031496062992" footer="0.15748031496062992"/>
  <pageSetup paperSize="9" scale="35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prompt="_x000a_">
          <x14:formula1>
            <xm:f>Platten!$Q$3:$Q$4</xm:f>
          </x14:formula1>
          <xm:sqref>B13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8"/>
  <sheetViews>
    <sheetView showGridLines="0" tabSelected="1" zoomScaleNormal="100" workbookViewId="0">
      <selection activeCell="B9" sqref="B9"/>
    </sheetView>
  </sheetViews>
  <sheetFormatPr baseColWidth="10" defaultColWidth="57.5703125" defaultRowHeight="14.25" x14ac:dyDescent="0.2"/>
  <cols>
    <col min="1" max="1" width="57.5703125" style="24"/>
    <col min="2" max="2" width="15.5703125" style="25" customWidth="1"/>
    <col min="3" max="5" width="17.5703125" style="25" hidden="1" customWidth="1"/>
    <col min="6" max="7" width="15.5703125" style="25" customWidth="1"/>
    <col min="8" max="8" width="2" style="25" customWidth="1"/>
    <col min="9" max="9" width="15.5703125" style="25" customWidth="1"/>
    <col min="10" max="10" width="15.5703125" style="29" customWidth="1"/>
    <col min="11" max="11" width="18" style="25" bestFit="1" customWidth="1"/>
    <col min="12" max="13" width="15.5703125" style="25" customWidth="1"/>
    <col min="14" max="14" width="4.5703125" style="24" customWidth="1"/>
    <col min="15" max="15" width="47.5703125" style="24" customWidth="1"/>
    <col min="16" max="16384" width="57.5703125" style="24"/>
  </cols>
  <sheetData>
    <row r="1" spans="1:15" ht="63.75" customHeight="1" x14ac:dyDescent="0.2"/>
    <row r="2" spans="1:15" s="38" customFormat="1" ht="66.75" customHeight="1" x14ac:dyDescent="0.6">
      <c r="A2" s="167" t="s">
        <v>247</v>
      </c>
      <c r="B2" s="37"/>
      <c r="C2" s="37"/>
      <c r="D2" s="37"/>
      <c r="E2" s="37"/>
      <c r="I2" s="39"/>
      <c r="J2" s="40"/>
      <c r="K2" s="37"/>
      <c r="L2" s="37"/>
      <c r="M2" s="37"/>
    </row>
    <row r="3" spans="1:15" s="38" customFormat="1" ht="22.5" customHeight="1" x14ac:dyDescent="0.55000000000000004">
      <c r="A3" s="107" t="s">
        <v>248</v>
      </c>
      <c r="B3" s="37"/>
      <c r="C3" s="37"/>
      <c r="D3" s="37"/>
      <c r="E3" s="37"/>
      <c r="I3" s="37"/>
      <c r="J3" s="40"/>
      <c r="K3" s="37"/>
      <c r="L3" s="37"/>
      <c r="M3" s="37"/>
    </row>
    <row r="4" spans="1:15" ht="5.25" customHeight="1" x14ac:dyDescent="0.2">
      <c r="F4" s="24"/>
      <c r="G4" s="24"/>
      <c r="H4" s="24"/>
      <c r="K4" s="24"/>
      <c r="L4" s="24"/>
      <c r="M4" s="24"/>
    </row>
    <row r="5" spans="1:15" s="38" customFormat="1" ht="22.5" customHeight="1" x14ac:dyDescent="0.55000000000000004">
      <c r="A5" s="34" t="s">
        <v>80</v>
      </c>
      <c r="B5" s="37"/>
      <c r="C5" s="37"/>
      <c r="D5" s="37"/>
      <c r="E5" s="37"/>
      <c r="I5" s="37"/>
      <c r="J5" s="40"/>
      <c r="K5" s="37"/>
      <c r="L5" s="37"/>
      <c r="M5" s="37"/>
    </row>
    <row r="6" spans="1:15" s="46" customFormat="1" ht="29.25" customHeight="1" x14ac:dyDescent="0.2">
      <c r="E6" s="43"/>
      <c r="G6" s="43"/>
      <c r="H6" s="43"/>
      <c r="I6" s="43"/>
      <c r="J6" s="74"/>
      <c r="K6" s="75"/>
      <c r="L6" s="76"/>
      <c r="M6" s="77"/>
    </row>
    <row r="7" spans="1:15" s="46" customFormat="1" ht="15" customHeight="1" x14ac:dyDescent="0.2">
      <c r="A7" s="78" t="s">
        <v>90</v>
      </c>
      <c r="B7" s="79"/>
      <c r="C7" s="79"/>
      <c r="D7" s="79"/>
      <c r="E7" s="43"/>
      <c r="J7" s="74"/>
      <c r="K7" s="43"/>
      <c r="L7" s="43"/>
      <c r="M7" s="43"/>
    </row>
    <row r="8" spans="1:15" s="46" customFormat="1" ht="14.25" customHeight="1" thickBot="1" x14ac:dyDescent="0.25">
      <c r="B8" s="43"/>
      <c r="C8" s="43"/>
      <c r="D8" s="43"/>
      <c r="E8" s="43"/>
      <c r="F8" s="43"/>
      <c r="J8" s="74"/>
      <c r="K8" s="43"/>
      <c r="L8" s="43"/>
      <c r="M8" s="43"/>
    </row>
    <row r="9" spans="1:15" s="43" customFormat="1" ht="23.1" customHeight="1" thickBot="1" x14ac:dyDescent="0.3">
      <c r="A9" s="68" t="s">
        <v>131</v>
      </c>
      <c r="B9" s="69">
        <v>200</v>
      </c>
      <c r="J9" s="74"/>
      <c r="K9" s="70" t="s">
        <v>91</v>
      </c>
      <c r="L9" s="240"/>
      <c r="M9" s="241"/>
    </row>
    <row r="10" spans="1:15" s="43" customFormat="1" ht="23.1" customHeight="1" thickBot="1" x14ac:dyDescent="0.3">
      <c r="A10" s="68" t="s">
        <v>130</v>
      </c>
      <c r="B10" s="69">
        <v>20</v>
      </c>
      <c r="J10" s="74"/>
      <c r="K10" s="72" t="s">
        <v>246</v>
      </c>
      <c r="L10" s="240"/>
      <c r="M10" s="241"/>
    </row>
    <row r="11" spans="1:15" s="43" customFormat="1" ht="23.1" customHeight="1" thickBot="1" x14ac:dyDescent="0.3">
      <c r="A11" s="68" t="s">
        <v>103</v>
      </c>
      <c r="B11" s="71">
        <v>0</v>
      </c>
      <c r="J11" s="74"/>
      <c r="K11" s="73" t="s">
        <v>92</v>
      </c>
      <c r="L11" s="240"/>
      <c r="M11" s="241"/>
    </row>
    <row r="12" spans="1:15" s="46" customFormat="1" ht="23.1" customHeight="1" thickBot="1" x14ac:dyDescent="0.25">
      <c r="A12" s="68" t="s">
        <v>104</v>
      </c>
      <c r="B12" s="71">
        <v>0</v>
      </c>
      <c r="C12" s="43"/>
      <c r="D12" s="43"/>
      <c r="E12" s="43"/>
      <c r="F12" s="43"/>
      <c r="J12" s="74"/>
      <c r="K12" s="72" t="s">
        <v>93</v>
      </c>
      <c r="L12" s="240"/>
      <c r="M12" s="241"/>
    </row>
    <row r="13" spans="1:15" s="46" customFormat="1" ht="23.1" customHeight="1" thickBot="1" x14ac:dyDescent="0.25">
      <c r="A13" s="68" t="s">
        <v>129</v>
      </c>
      <c r="B13" s="118">
        <v>-1</v>
      </c>
      <c r="C13" s="43"/>
      <c r="D13" s="43"/>
      <c r="E13" s="43"/>
      <c r="F13" s="43"/>
      <c r="J13" s="74"/>
    </row>
    <row r="14" spans="1:15" s="27" customFormat="1" ht="36" customHeight="1" thickBot="1" x14ac:dyDescent="0.25">
      <c r="B14" s="26"/>
      <c r="C14" s="26"/>
      <c r="D14" s="26"/>
      <c r="E14" s="26"/>
      <c r="F14" s="26"/>
      <c r="G14" s="26"/>
      <c r="H14" s="26"/>
      <c r="I14" s="26"/>
      <c r="J14" s="30"/>
      <c r="K14" s="26"/>
      <c r="L14" s="26"/>
      <c r="M14" s="26"/>
    </row>
    <row r="15" spans="1:15" s="27" customFormat="1" ht="36" customHeight="1" x14ac:dyDescent="0.2">
      <c r="A15" s="242" t="s">
        <v>128</v>
      </c>
      <c r="B15" s="243"/>
      <c r="C15" s="243"/>
      <c r="D15" s="243"/>
      <c r="E15" s="243"/>
      <c r="F15" s="243"/>
      <c r="G15" s="243"/>
      <c r="H15" s="243"/>
      <c r="I15" s="243"/>
      <c r="J15" s="243"/>
      <c r="K15" s="243"/>
      <c r="L15" s="243"/>
      <c r="M15" s="244"/>
      <c r="O15" s="80"/>
    </row>
    <row r="16" spans="1:15" s="27" customFormat="1" ht="15" x14ac:dyDescent="0.2">
      <c r="A16" s="97"/>
      <c r="B16" s="26"/>
      <c r="C16" s="26"/>
      <c r="D16" s="26"/>
      <c r="E16" s="26"/>
      <c r="F16" s="26"/>
      <c r="G16" s="26"/>
      <c r="H16" s="26"/>
      <c r="I16" s="26"/>
      <c r="J16" s="30"/>
      <c r="K16" s="26"/>
      <c r="L16" s="26"/>
      <c r="M16" s="92"/>
      <c r="O16" s="80"/>
    </row>
    <row r="17" spans="1:15" s="46" customFormat="1" ht="30" customHeight="1" x14ac:dyDescent="0.2">
      <c r="A17" s="93" t="s">
        <v>249</v>
      </c>
      <c r="B17" s="41" t="s">
        <v>62</v>
      </c>
      <c r="C17" s="42" t="s">
        <v>84</v>
      </c>
      <c r="D17" s="42" t="s">
        <v>85</v>
      </c>
      <c r="E17" s="42" t="s">
        <v>55</v>
      </c>
      <c r="F17" s="41" t="s">
        <v>60</v>
      </c>
      <c r="G17" s="41" t="s">
        <v>66</v>
      </c>
      <c r="H17" s="52"/>
      <c r="I17" s="44" t="s">
        <v>81</v>
      </c>
      <c r="J17" s="45" t="s">
        <v>29</v>
      </c>
      <c r="K17" s="41" t="s">
        <v>101</v>
      </c>
      <c r="L17" s="41" t="s">
        <v>4</v>
      </c>
      <c r="M17" s="94" t="s">
        <v>1</v>
      </c>
      <c r="O17" s="80"/>
    </row>
    <row r="18" spans="1:15" s="43" customFormat="1" ht="30" customHeight="1" x14ac:dyDescent="0.25">
      <c r="A18" s="95" t="s">
        <v>53</v>
      </c>
      <c r="B18" s="47">
        <f>IF($A18="Keine Auswahl",0,$B$9)</f>
        <v>200</v>
      </c>
      <c r="C18" s="48">
        <f>VLOOKUP(A18,Putze_Zubehör_Werte,6,FALSE)</f>
        <v>7.5</v>
      </c>
      <c r="D18" s="49">
        <f>B18*C18</f>
        <v>1500</v>
      </c>
      <c r="E18" s="49">
        <f>VLOOKUP(A18,Putze_Zubehör_Werte,3,FALSE)</f>
        <v>25</v>
      </c>
      <c r="F18" s="48">
        <f>IF($A18="Keine Auswahl",0,ROUNDUP($D18/$E18,0))</f>
        <v>60</v>
      </c>
      <c r="G18" s="48">
        <f>F18*E18</f>
        <v>1500</v>
      </c>
      <c r="I18" s="50">
        <f>'Staffelpreise Mineral'!E5</f>
        <v>1.53</v>
      </c>
      <c r="J18" s="51">
        <f>IF($A18="Keine Auswahl",0,$B$12)</f>
        <v>0</v>
      </c>
      <c r="K18" s="50">
        <f>I18-(I18*J18)</f>
        <v>1.53</v>
      </c>
      <c r="L18" s="48" t="s">
        <v>7</v>
      </c>
      <c r="M18" s="96">
        <f>E18*F18*K18</f>
        <v>2295</v>
      </c>
      <c r="O18" s="80"/>
    </row>
    <row r="19" spans="1:15" s="27" customFormat="1" ht="15" x14ac:dyDescent="0.2">
      <c r="A19" s="91"/>
      <c r="B19" s="26"/>
      <c r="C19" s="26"/>
      <c r="D19" s="26"/>
      <c r="E19" s="26"/>
      <c r="F19" s="26"/>
      <c r="G19" s="26"/>
      <c r="H19" s="26"/>
      <c r="I19" s="26"/>
      <c r="J19" s="30"/>
      <c r="K19" s="26"/>
      <c r="L19" s="26"/>
      <c r="M19" s="92"/>
    </row>
    <row r="20" spans="1:15" s="46" customFormat="1" ht="30" customHeight="1" x14ac:dyDescent="0.2">
      <c r="A20" s="93" t="s">
        <v>51</v>
      </c>
      <c r="B20" s="41" t="s">
        <v>115</v>
      </c>
      <c r="C20" s="42" t="s">
        <v>82</v>
      </c>
      <c r="D20" s="42" t="s">
        <v>83</v>
      </c>
      <c r="E20" s="42" t="s">
        <v>54</v>
      </c>
      <c r="F20" s="41" t="s">
        <v>61</v>
      </c>
      <c r="G20" s="41" t="s">
        <v>65</v>
      </c>
      <c r="H20" s="52"/>
      <c r="I20" s="44" t="s">
        <v>81</v>
      </c>
      <c r="J20" s="45" t="s">
        <v>29</v>
      </c>
      <c r="K20" s="41" t="s">
        <v>101</v>
      </c>
      <c r="L20" s="41" t="s">
        <v>4</v>
      </c>
      <c r="M20" s="94" t="s">
        <v>1</v>
      </c>
      <c r="O20" s="80"/>
    </row>
    <row r="21" spans="1:15" s="43" customFormat="1" ht="30" customHeight="1" x14ac:dyDescent="0.25">
      <c r="A21" s="95" t="s">
        <v>47</v>
      </c>
      <c r="B21" s="47">
        <f>IF($A21="Keine Auswahl",0,$B$9)</f>
        <v>200</v>
      </c>
      <c r="C21" s="48">
        <f>IF(A21="Keine Auswahl",0,1)</f>
        <v>1</v>
      </c>
      <c r="D21" s="49">
        <f>B21*C21</f>
        <v>200</v>
      </c>
      <c r="E21" s="49">
        <f>VLOOKUP(A21,Platten_Mineral_Werte,9,FALSE)</f>
        <v>7.68</v>
      </c>
      <c r="F21" s="48">
        <f>IF($A21="Keine Auswahl",0,ROUNDUP($D21/$E21,0))</f>
        <v>27</v>
      </c>
      <c r="G21" s="48">
        <f>F21*E21</f>
        <v>207.35999999999999</v>
      </c>
      <c r="I21" s="50">
        <f>VLOOKUP(A21,Platten_Mineral_Werte,11,FALSE)</f>
        <v>40.380000000000003</v>
      </c>
      <c r="J21" s="51">
        <f>IF($A21="Keine Auswahl",0,$B$11)</f>
        <v>0</v>
      </c>
      <c r="K21" s="50">
        <f>I21-(I21*J21)</f>
        <v>40.380000000000003</v>
      </c>
      <c r="L21" s="48" t="s">
        <v>63</v>
      </c>
      <c r="M21" s="96">
        <f>E21*F21*K21</f>
        <v>8373.1967999999997</v>
      </c>
      <c r="O21" s="80"/>
    </row>
    <row r="22" spans="1:15" s="27" customFormat="1" ht="15" x14ac:dyDescent="0.2">
      <c r="A22" s="91"/>
      <c r="B22" s="26"/>
      <c r="C22" s="26"/>
      <c r="D22" s="26"/>
      <c r="E22" s="26"/>
      <c r="F22" s="26"/>
      <c r="G22" s="26"/>
      <c r="H22" s="26"/>
      <c r="I22" s="26"/>
      <c r="J22" s="30"/>
      <c r="K22" s="26"/>
      <c r="L22" s="26"/>
      <c r="M22" s="92"/>
      <c r="O22" s="80"/>
    </row>
    <row r="23" spans="1:15" s="46" customFormat="1" ht="30" customHeight="1" x14ac:dyDescent="0.2">
      <c r="A23" s="93" t="s">
        <v>112</v>
      </c>
      <c r="B23" s="41" t="s">
        <v>114</v>
      </c>
      <c r="C23" s="42" t="s">
        <v>117</v>
      </c>
      <c r="D23" s="42" t="s">
        <v>118</v>
      </c>
      <c r="E23" s="42" t="s">
        <v>116</v>
      </c>
      <c r="F23" s="41" t="s">
        <v>113</v>
      </c>
      <c r="G23" s="41" t="s">
        <v>119</v>
      </c>
      <c r="H23" s="52"/>
      <c r="I23" s="44" t="s">
        <v>81</v>
      </c>
      <c r="J23" s="45" t="s">
        <v>29</v>
      </c>
      <c r="K23" s="41" t="s">
        <v>101</v>
      </c>
      <c r="L23" s="41" t="s">
        <v>4</v>
      </c>
      <c r="M23" s="94" t="s">
        <v>1</v>
      </c>
      <c r="O23" s="80"/>
    </row>
    <row r="24" spans="1:15" s="43" customFormat="1" ht="30" customHeight="1" x14ac:dyDescent="0.25">
      <c r="A24" s="95" t="s">
        <v>277</v>
      </c>
      <c r="B24" s="47">
        <f>IF($A24="Keine Auswahl",0,$B$9)</f>
        <v>200</v>
      </c>
      <c r="C24" s="48">
        <f>VLOOKUP(A21,Platten_Mineral_Werte,IF(B13=-0.55,14,(IF(B13=-1,15,16))),FALSE)</f>
        <v>8.33</v>
      </c>
      <c r="D24" s="49">
        <f>B24*C24</f>
        <v>1666</v>
      </c>
      <c r="E24" s="49">
        <f>VLOOKUP($A24,Befestigung_Mineral_Werte,3,FALSE)</f>
        <v>100</v>
      </c>
      <c r="F24" s="48">
        <f>IF($A24="Keine Auswahl",0,ROUNDUP($D24/$E24,0))</f>
        <v>17</v>
      </c>
      <c r="G24" s="48">
        <f>F24*E24</f>
        <v>1700</v>
      </c>
      <c r="I24" s="50">
        <f>VLOOKUP(A24,Befestigung_Mineral_Werte,10,FALSE)</f>
        <v>94.84</v>
      </c>
      <c r="J24" s="51">
        <f>IF($A24="Keine Auswahl",0,$B$12)</f>
        <v>0</v>
      </c>
      <c r="K24" s="50">
        <f>I24-(I24*J24)</f>
        <v>94.84</v>
      </c>
      <c r="L24" s="48" t="s">
        <v>33</v>
      </c>
      <c r="M24" s="96">
        <f>F24*K24</f>
        <v>1612.28</v>
      </c>
      <c r="O24" s="80"/>
    </row>
    <row r="25" spans="1:15" s="27" customFormat="1" ht="15" x14ac:dyDescent="0.2">
      <c r="A25" s="91"/>
      <c r="B25" s="26"/>
      <c r="C25" s="26"/>
      <c r="D25" s="26"/>
      <c r="E25" s="26"/>
      <c r="F25" s="26"/>
      <c r="G25" s="26"/>
      <c r="H25" s="26"/>
      <c r="I25" s="26"/>
      <c r="J25" s="30"/>
      <c r="K25" s="26"/>
      <c r="L25" s="26"/>
      <c r="M25" s="92"/>
      <c r="O25" s="80"/>
    </row>
    <row r="26" spans="1:15" s="46" customFormat="1" ht="30" customHeight="1" x14ac:dyDescent="0.2">
      <c r="A26" s="93" t="s">
        <v>135</v>
      </c>
      <c r="B26" s="41" t="s">
        <v>62</v>
      </c>
      <c r="C26" s="42" t="s">
        <v>84</v>
      </c>
      <c r="D26" s="42" t="s">
        <v>85</v>
      </c>
      <c r="E26" s="42" t="s">
        <v>55</v>
      </c>
      <c r="F26" s="41" t="s">
        <v>60</v>
      </c>
      <c r="G26" s="41" t="s">
        <v>66</v>
      </c>
      <c r="H26" s="52"/>
      <c r="I26" s="44" t="s">
        <v>81</v>
      </c>
      <c r="J26" s="45" t="s">
        <v>29</v>
      </c>
      <c r="K26" s="41" t="s">
        <v>101</v>
      </c>
      <c r="L26" s="41" t="s">
        <v>4</v>
      </c>
      <c r="M26" s="94" t="s">
        <v>1</v>
      </c>
      <c r="O26" s="80"/>
    </row>
    <row r="27" spans="1:15" s="43" customFormat="1" ht="30" customHeight="1" x14ac:dyDescent="0.25">
      <c r="A27" s="95" t="s">
        <v>53</v>
      </c>
      <c r="B27" s="47">
        <f>IF($A27="Keine Auswahl",0,$B$9)</f>
        <v>200</v>
      </c>
      <c r="C27" s="48">
        <f>VLOOKUP(A27,Putze_Zubehör_Werte,6,FALSE)</f>
        <v>7.5</v>
      </c>
      <c r="D27" s="49">
        <f>B27*C27</f>
        <v>1500</v>
      </c>
      <c r="E27" s="49">
        <f>VLOOKUP(A27,Putze_Zubehör_Werte,3,FALSE)</f>
        <v>25</v>
      </c>
      <c r="F27" s="48">
        <f>IF($A27="Keine Auswahl",0,ROUNDUP($D27/$E27,0))</f>
        <v>60</v>
      </c>
      <c r="G27" s="48">
        <f>F27*E27</f>
        <v>1500</v>
      </c>
      <c r="I27" s="50">
        <f>'Staffelpreise Mineral'!E5</f>
        <v>1.53</v>
      </c>
      <c r="J27" s="51">
        <f>IF($A27="Keine Auswahl",0,$B$12)</f>
        <v>0</v>
      </c>
      <c r="K27" s="50">
        <f>I27-(I27*J27)</f>
        <v>1.53</v>
      </c>
      <c r="L27" s="48" t="s">
        <v>7</v>
      </c>
      <c r="M27" s="96">
        <f>E27*F27*K27</f>
        <v>2295</v>
      </c>
      <c r="O27" s="80"/>
    </row>
    <row r="28" spans="1:15" s="27" customFormat="1" ht="15" x14ac:dyDescent="0.2">
      <c r="A28" s="91"/>
      <c r="B28" s="26"/>
      <c r="C28" s="26"/>
      <c r="D28" s="26"/>
      <c r="E28" s="26"/>
      <c r="F28" s="26"/>
      <c r="G28" s="26"/>
      <c r="H28" s="26"/>
      <c r="I28" s="26"/>
      <c r="J28" s="30"/>
      <c r="K28" s="26"/>
      <c r="L28" s="26"/>
      <c r="M28" s="92"/>
    </row>
    <row r="29" spans="1:15" s="46" customFormat="1" ht="30" customHeight="1" x14ac:dyDescent="0.2">
      <c r="A29" s="93" t="s">
        <v>52</v>
      </c>
      <c r="B29" s="41" t="s">
        <v>62</v>
      </c>
      <c r="C29" s="42" t="s">
        <v>86</v>
      </c>
      <c r="D29" s="42" t="s">
        <v>87</v>
      </c>
      <c r="E29" s="42" t="s">
        <v>56</v>
      </c>
      <c r="F29" s="41" t="s">
        <v>59</v>
      </c>
      <c r="G29" s="41" t="s">
        <v>67</v>
      </c>
      <c r="H29" s="52"/>
      <c r="I29" s="44" t="s">
        <v>81</v>
      </c>
      <c r="J29" s="45" t="s">
        <v>29</v>
      </c>
      <c r="K29" s="41" t="s">
        <v>101</v>
      </c>
      <c r="L29" s="41" t="s">
        <v>4</v>
      </c>
      <c r="M29" s="94" t="s">
        <v>1</v>
      </c>
      <c r="O29" s="80"/>
    </row>
    <row r="30" spans="1:15" s="43" customFormat="1" ht="30" customHeight="1" x14ac:dyDescent="0.25">
      <c r="A30" s="95" t="s">
        <v>242</v>
      </c>
      <c r="B30" s="47">
        <f>IF($A30="Keine Auswahl",0,$B$9)</f>
        <v>200</v>
      </c>
      <c r="C30" s="48">
        <f>VLOOKUP(A30,Putze_Zubehör_Werte,6,FALSE)</f>
        <v>1</v>
      </c>
      <c r="D30" s="49">
        <f>B30*C30</f>
        <v>200</v>
      </c>
      <c r="E30" s="49">
        <f>VLOOKUP(A30,Putze_Zubehör_Werte,3,FALSE)</f>
        <v>50</v>
      </c>
      <c r="F30" s="48">
        <f>IF($A30="Keine Auswahl",0,ROUNDUP($D30/$E30,0))</f>
        <v>4</v>
      </c>
      <c r="G30" s="48">
        <f>F30*E30</f>
        <v>200</v>
      </c>
      <c r="I30" s="50">
        <f>IF(A30="Keine Auswahl",VLOOKUP(A30,Putze_Zubehör_Werte,10,FALSE),(VLOOKUP(A30,Gewebe_Staffelung_Mineral,5,FALSE)))</f>
        <v>2.9</v>
      </c>
      <c r="J30" s="51">
        <f>IF($A30="Keine Auswahl",0,$B$12)</f>
        <v>0</v>
      </c>
      <c r="K30" s="50">
        <f>I30-(I30*J30)</f>
        <v>2.9</v>
      </c>
      <c r="L30" s="48" t="s">
        <v>3</v>
      </c>
      <c r="M30" s="96">
        <f>E30*F30*K30</f>
        <v>580</v>
      </c>
      <c r="O30" s="80"/>
    </row>
    <row r="31" spans="1:15" s="27" customFormat="1" ht="15" x14ac:dyDescent="0.2">
      <c r="A31" s="91"/>
      <c r="B31" s="26"/>
      <c r="C31" s="26"/>
      <c r="D31" s="26"/>
      <c r="E31" s="26"/>
      <c r="F31" s="26"/>
      <c r="G31" s="26"/>
      <c r="H31" s="26"/>
      <c r="I31" s="26"/>
      <c r="J31" s="30"/>
      <c r="K31" s="26"/>
      <c r="L31" s="26"/>
      <c r="M31" s="92"/>
    </row>
    <row r="32" spans="1:15" s="46" customFormat="1" ht="30" customHeight="1" x14ac:dyDescent="0.2">
      <c r="A32" s="93" t="s">
        <v>136</v>
      </c>
      <c r="B32" s="41" t="s">
        <v>62</v>
      </c>
      <c r="C32" s="42" t="s">
        <v>84</v>
      </c>
      <c r="D32" s="42" t="s">
        <v>85</v>
      </c>
      <c r="E32" s="42" t="s">
        <v>58</v>
      </c>
      <c r="F32" s="41" t="s">
        <v>31</v>
      </c>
      <c r="G32" s="41" t="s">
        <v>66</v>
      </c>
      <c r="H32" s="52"/>
      <c r="I32" s="44" t="s">
        <v>81</v>
      </c>
      <c r="J32" s="45" t="s">
        <v>29</v>
      </c>
      <c r="K32" s="41" t="s">
        <v>101</v>
      </c>
      <c r="L32" s="41" t="s">
        <v>4</v>
      </c>
      <c r="M32" s="94" t="s">
        <v>1</v>
      </c>
      <c r="O32" s="80"/>
    </row>
    <row r="33" spans="1:15" s="43" customFormat="1" ht="30" customHeight="1" x14ac:dyDescent="0.25">
      <c r="A33" s="95" t="s">
        <v>140</v>
      </c>
      <c r="B33" s="47">
        <f>IF($A33="Keine Auswahl",0,$B$9)</f>
        <v>200</v>
      </c>
      <c r="C33" s="48">
        <f>VLOOKUP(A33,Putze_Zubehör_Werte,6,FALSE)</f>
        <v>0.4</v>
      </c>
      <c r="D33" s="49">
        <f>B33*C33</f>
        <v>80</v>
      </c>
      <c r="E33" s="49">
        <f>VLOOKUP(A33,Putze_Zubehör_Werte,3,FALSE)</f>
        <v>25</v>
      </c>
      <c r="F33" s="48">
        <f>IF($A33="Keine Auswahl",0,ROUNDUP($D33/$E33,0))</f>
        <v>4</v>
      </c>
      <c r="G33" s="48">
        <f>F33*E33</f>
        <v>100</v>
      </c>
      <c r="I33" s="50">
        <f>IF(A33="Keine Auswahl",VLOOKUP(A33,Putze_Zubehör_Werte,10,FALSE),(VLOOKUP(A33,Grundierung_Staffelung_Mineral,5,FALSE)))</f>
        <v>6.88</v>
      </c>
      <c r="J33" s="51">
        <f>IF($A33="Keine Auswahl",0,$B$12)</f>
        <v>0</v>
      </c>
      <c r="K33" s="50">
        <f>I33-(I33*J33)</f>
        <v>6.88</v>
      </c>
      <c r="L33" s="48" t="s">
        <v>7</v>
      </c>
      <c r="M33" s="96">
        <f>E33*F33*K33</f>
        <v>688</v>
      </c>
      <c r="O33" s="80"/>
    </row>
    <row r="34" spans="1:15" s="27" customFormat="1" ht="15" x14ac:dyDescent="0.2">
      <c r="A34" s="91"/>
      <c r="B34" s="26"/>
      <c r="C34" s="26"/>
      <c r="D34" s="26"/>
      <c r="E34" s="26"/>
      <c r="F34" s="26"/>
      <c r="G34" s="26"/>
      <c r="H34" s="26"/>
      <c r="I34" s="26"/>
      <c r="J34" s="30"/>
      <c r="K34" s="26"/>
      <c r="L34" s="26"/>
      <c r="M34" s="92"/>
    </row>
    <row r="35" spans="1:15" s="46" customFormat="1" ht="30" customHeight="1" x14ac:dyDescent="0.2">
      <c r="A35" s="93" t="s">
        <v>163</v>
      </c>
      <c r="B35" s="41" t="s">
        <v>62</v>
      </c>
      <c r="C35" s="42" t="s">
        <v>84</v>
      </c>
      <c r="D35" s="42" t="s">
        <v>85</v>
      </c>
      <c r="E35" s="42" t="s">
        <v>57</v>
      </c>
      <c r="F35" s="41" t="s">
        <v>69</v>
      </c>
      <c r="G35" s="41" t="s">
        <v>66</v>
      </c>
      <c r="H35" s="52"/>
      <c r="I35" s="44" t="s">
        <v>81</v>
      </c>
      <c r="J35" s="45" t="s">
        <v>29</v>
      </c>
      <c r="K35" s="41" t="s">
        <v>101</v>
      </c>
      <c r="L35" s="41" t="s">
        <v>4</v>
      </c>
      <c r="M35" s="94" t="s">
        <v>1</v>
      </c>
      <c r="O35" s="80"/>
    </row>
    <row r="36" spans="1:15" s="43" customFormat="1" ht="30" customHeight="1" x14ac:dyDescent="0.25">
      <c r="A36" s="95" t="s">
        <v>96</v>
      </c>
      <c r="B36" s="47">
        <f>IF($A36="Keine Auswahl",0,$B$9)</f>
        <v>0</v>
      </c>
      <c r="C36" s="48">
        <v>0</v>
      </c>
      <c r="D36" s="49">
        <f>B36*C36</f>
        <v>0</v>
      </c>
      <c r="E36" s="48">
        <v>0</v>
      </c>
      <c r="F36" s="48">
        <v>0</v>
      </c>
      <c r="G36" s="48">
        <v>0</v>
      </c>
      <c r="I36" s="50">
        <f>VLOOKUP(A36,Putze_Zubehör_Werte,10,FALSE)</f>
        <v>0</v>
      </c>
      <c r="J36" s="51">
        <f>IF($A36="Keine Auswahl",0,$B$12)</f>
        <v>0</v>
      </c>
      <c r="K36" s="50">
        <f>I36-(I36*J36)</f>
        <v>0</v>
      </c>
      <c r="L36" s="48" t="s">
        <v>7</v>
      </c>
      <c r="M36" s="96">
        <f>E33*F33*K36</f>
        <v>0</v>
      </c>
      <c r="O36" s="80"/>
    </row>
    <row r="37" spans="1:15" s="27" customFormat="1" ht="15" x14ac:dyDescent="0.2">
      <c r="A37" s="91"/>
      <c r="B37" s="26"/>
      <c r="C37" s="26"/>
      <c r="D37" s="26"/>
      <c r="E37" s="26"/>
      <c r="F37" s="26"/>
      <c r="G37" s="26"/>
      <c r="H37" s="26"/>
      <c r="I37" s="26"/>
      <c r="J37" s="30"/>
      <c r="K37" s="26"/>
      <c r="L37" s="26"/>
      <c r="M37" s="92"/>
    </row>
    <row r="38" spans="1:15" s="46" customFormat="1" ht="30" customHeight="1" x14ac:dyDescent="0.2">
      <c r="A38" s="93" t="s">
        <v>137</v>
      </c>
      <c r="B38" s="41" t="s">
        <v>62</v>
      </c>
      <c r="C38" s="42" t="s">
        <v>84</v>
      </c>
      <c r="D38" s="42" t="s">
        <v>85</v>
      </c>
      <c r="E38" s="42" t="s">
        <v>57</v>
      </c>
      <c r="F38" s="41" t="s">
        <v>69</v>
      </c>
      <c r="G38" s="41" t="s">
        <v>66</v>
      </c>
      <c r="H38" s="52"/>
      <c r="I38" s="44" t="s">
        <v>81</v>
      </c>
      <c r="J38" s="45" t="s">
        <v>29</v>
      </c>
      <c r="K38" s="41" t="s">
        <v>101</v>
      </c>
      <c r="L38" s="41" t="s">
        <v>4</v>
      </c>
      <c r="M38" s="94" t="s">
        <v>1</v>
      </c>
      <c r="O38" s="80"/>
    </row>
    <row r="39" spans="1:15" s="43" customFormat="1" ht="30" customHeight="1" x14ac:dyDescent="0.25">
      <c r="A39" s="95" t="s">
        <v>146</v>
      </c>
      <c r="B39" s="47">
        <f>IF($A39="Keine Auswahl",0,$B$9)</f>
        <v>200</v>
      </c>
      <c r="C39" s="48">
        <f>VLOOKUP(A39,Putze_Zubehör_Werte,6,FALSE)</f>
        <v>2.4</v>
      </c>
      <c r="D39" s="49">
        <f>B39*C39</f>
        <v>480</v>
      </c>
      <c r="E39" s="49">
        <f>VLOOKUP(A39,Putze_Zubehör_Werte,3,FALSE)</f>
        <v>25</v>
      </c>
      <c r="F39" s="48">
        <f>IF($A39="Keine Auswahl",0,ROUNDUP($D39/$E39,0))</f>
        <v>20</v>
      </c>
      <c r="G39" s="48">
        <f>F39*E39</f>
        <v>500</v>
      </c>
      <c r="I39" s="50">
        <f>VLOOKUP(A39,Putze_Zubehör_Werte,(IF(F39&lt;(VLOOKUP(A39,Putze_Zubehör_Werte,3,FALSE)),10,9)),FALSE)</f>
        <v>2.46</v>
      </c>
      <c r="J39" s="51">
        <f>IF($A39="Keine Auswahl",0,$B$12)</f>
        <v>0</v>
      </c>
      <c r="K39" s="50">
        <f>I39-(I39*J39)</f>
        <v>2.46</v>
      </c>
      <c r="L39" s="48" t="s">
        <v>7</v>
      </c>
      <c r="M39" s="96">
        <f>E39*F39*K39</f>
        <v>1230</v>
      </c>
      <c r="O39" s="80"/>
    </row>
    <row r="40" spans="1:15" s="27" customFormat="1" ht="15" x14ac:dyDescent="0.2">
      <c r="A40" s="91"/>
      <c r="B40" s="26"/>
      <c r="C40" s="26"/>
      <c r="D40" s="26"/>
      <c r="E40" s="26"/>
      <c r="F40" s="26"/>
      <c r="G40" s="26"/>
      <c r="H40" s="26"/>
      <c r="I40" s="26"/>
      <c r="J40" s="30"/>
      <c r="K40" s="26"/>
      <c r="L40" s="26"/>
      <c r="M40" s="92"/>
    </row>
    <row r="41" spans="1:15" s="46" customFormat="1" ht="30" customHeight="1" x14ac:dyDescent="0.2">
      <c r="A41" s="93" t="s">
        <v>139</v>
      </c>
      <c r="B41" s="41" t="s">
        <v>62</v>
      </c>
      <c r="C41" s="42" t="s">
        <v>84</v>
      </c>
      <c r="D41" s="42" t="s">
        <v>85</v>
      </c>
      <c r="E41" s="42" t="s">
        <v>57</v>
      </c>
      <c r="F41" s="41" t="s">
        <v>69</v>
      </c>
      <c r="G41" s="41" t="s">
        <v>66</v>
      </c>
      <c r="H41" s="52"/>
      <c r="I41" s="44" t="s">
        <v>81</v>
      </c>
      <c r="J41" s="45" t="s">
        <v>29</v>
      </c>
      <c r="K41" s="41" t="s">
        <v>101</v>
      </c>
      <c r="L41" s="41" t="s">
        <v>4</v>
      </c>
      <c r="M41" s="94" t="s">
        <v>1</v>
      </c>
      <c r="O41" s="80"/>
    </row>
    <row r="42" spans="1:15" s="43" customFormat="1" ht="30" customHeight="1" x14ac:dyDescent="0.25">
      <c r="A42" s="95" t="s">
        <v>96</v>
      </c>
      <c r="B42" s="47">
        <f>IF($A42="Keine Auswahl",0,$B$9)</f>
        <v>0</v>
      </c>
      <c r="C42" s="48">
        <v>0</v>
      </c>
      <c r="D42" s="49">
        <f>B42*C42</f>
        <v>0</v>
      </c>
      <c r="E42" s="48">
        <v>0</v>
      </c>
      <c r="F42" s="48">
        <v>0</v>
      </c>
      <c r="G42" s="48">
        <v>0</v>
      </c>
      <c r="I42" s="50">
        <f>VLOOKUP(A42,Putze_Zubehör_Werte,10,FALSE)</f>
        <v>0</v>
      </c>
      <c r="J42" s="51">
        <f>IF($A42="Keine Auswahl",0,$B$12)</f>
        <v>0</v>
      </c>
      <c r="K42" s="50">
        <f>I42-(I42*J42)</f>
        <v>0</v>
      </c>
      <c r="L42" s="48" t="s">
        <v>7</v>
      </c>
      <c r="M42" s="96">
        <f>E39*F39*K42</f>
        <v>0</v>
      </c>
      <c r="O42" s="80"/>
    </row>
    <row r="43" spans="1:15" s="27" customFormat="1" ht="15" x14ac:dyDescent="0.2">
      <c r="A43" s="91"/>
      <c r="B43" s="26"/>
      <c r="C43" s="26"/>
      <c r="D43" s="26"/>
      <c r="E43" s="26"/>
      <c r="F43" s="26"/>
      <c r="G43" s="26"/>
      <c r="H43" s="26"/>
      <c r="I43" s="26"/>
      <c r="J43" s="30"/>
      <c r="K43" s="26"/>
      <c r="L43" s="26"/>
      <c r="M43" s="92"/>
    </row>
    <row r="44" spans="1:15" s="46" customFormat="1" ht="30" customHeight="1" x14ac:dyDescent="0.2">
      <c r="A44" s="93" t="s">
        <v>166</v>
      </c>
      <c r="B44" s="41" t="s">
        <v>62</v>
      </c>
      <c r="C44" s="42" t="s">
        <v>84</v>
      </c>
      <c r="D44" s="42" t="s">
        <v>85</v>
      </c>
      <c r="E44" s="42" t="s">
        <v>57</v>
      </c>
      <c r="F44" s="41" t="s">
        <v>69</v>
      </c>
      <c r="G44" s="41" t="s">
        <v>66</v>
      </c>
      <c r="H44" s="52"/>
      <c r="I44" s="44" t="s">
        <v>81</v>
      </c>
      <c r="J44" s="45" t="s">
        <v>29</v>
      </c>
      <c r="K44" s="41" t="s">
        <v>101</v>
      </c>
      <c r="L44" s="41" t="s">
        <v>4</v>
      </c>
      <c r="M44" s="94" t="s">
        <v>1</v>
      </c>
      <c r="O44" s="80"/>
    </row>
    <row r="45" spans="1:15" s="43" customFormat="1" ht="30" customHeight="1" x14ac:dyDescent="0.25">
      <c r="A45" s="95" t="s">
        <v>96</v>
      </c>
      <c r="B45" s="47">
        <f>IF($A45="Keine Auswahl",0,$B$9)</f>
        <v>0</v>
      </c>
      <c r="C45" s="48">
        <f>VLOOKUP(A45,Putze_Zubehör_Werte,6,FALSE)</f>
        <v>0</v>
      </c>
      <c r="D45" s="49">
        <f>B45*C45</f>
        <v>0</v>
      </c>
      <c r="E45" s="49">
        <f>VLOOKUP(A45,Putze_Zubehör_Werte,3,FALSE)</f>
        <v>0</v>
      </c>
      <c r="F45" s="48">
        <f>IF($A45="Keine Auswahl",0,ROUNDUP($D45/$E45,0))</f>
        <v>0</v>
      </c>
      <c r="G45" s="48">
        <f>F45*E45</f>
        <v>0</v>
      </c>
      <c r="I45" s="50">
        <f>VLOOKUP(A45,Putze_Zubehör_Werte,(IF(F45&lt;(VLOOKUP(A45,Putze_Zubehör_Werte,3,FALSE)),10,9)),FALSE)</f>
        <v>0</v>
      </c>
      <c r="J45" s="51">
        <f>IF($A45="Keine Auswahl",0,$B$12)</f>
        <v>0</v>
      </c>
      <c r="K45" s="50">
        <f>I45-(I45*J45)</f>
        <v>0</v>
      </c>
      <c r="L45" s="48" t="s">
        <v>7</v>
      </c>
      <c r="M45" s="96">
        <f>E45*F45*K45</f>
        <v>0</v>
      </c>
      <c r="O45" s="80"/>
    </row>
    <row r="46" spans="1:15" s="27" customFormat="1" ht="15" x14ac:dyDescent="0.2">
      <c r="A46" s="91"/>
      <c r="B46" s="26"/>
      <c r="C46" s="26"/>
      <c r="D46" s="26"/>
      <c r="E46" s="26"/>
      <c r="F46" s="26"/>
      <c r="G46" s="26"/>
      <c r="H46" s="26"/>
      <c r="I46" s="26"/>
      <c r="J46" s="30"/>
      <c r="K46" s="26"/>
      <c r="L46" s="26"/>
      <c r="M46" s="92"/>
    </row>
    <row r="47" spans="1:15" s="46" customFormat="1" ht="30" customHeight="1" x14ac:dyDescent="0.2">
      <c r="A47" s="93" t="s">
        <v>211</v>
      </c>
      <c r="B47" s="41" t="s">
        <v>62</v>
      </c>
      <c r="C47" s="42" t="s">
        <v>84</v>
      </c>
      <c r="D47" s="42" t="s">
        <v>85</v>
      </c>
      <c r="E47" s="42" t="s">
        <v>57</v>
      </c>
      <c r="F47" s="41" t="s">
        <v>69</v>
      </c>
      <c r="G47" s="41" t="s">
        <v>66</v>
      </c>
      <c r="H47" s="52"/>
      <c r="I47" s="44" t="s">
        <v>81</v>
      </c>
      <c r="J47" s="45" t="s">
        <v>29</v>
      </c>
      <c r="K47" s="41" t="s">
        <v>101</v>
      </c>
      <c r="L47" s="41" t="s">
        <v>4</v>
      </c>
      <c r="M47" s="94" t="s">
        <v>1</v>
      </c>
      <c r="O47" s="80"/>
    </row>
    <row r="48" spans="1:15" s="43" customFormat="1" ht="30" customHeight="1" x14ac:dyDescent="0.25">
      <c r="A48" s="95" t="s">
        <v>96</v>
      </c>
      <c r="B48" s="47">
        <f>IF($A48="Keine Auswahl",0,$B$9)</f>
        <v>0</v>
      </c>
      <c r="C48" s="48">
        <v>0</v>
      </c>
      <c r="D48" s="49">
        <f>B48*C48</f>
        <v>0</v>
      </c>
      <c r="E48" s="48">
        <v>0</v>
      </c>
      <c r="F48" s="48">
        <v>0</v>
      </c>
      <c r="G48" s="48">
        <v>0</v>
      </c>
      <c r="I48" s="50">
        <f>VLOOKUP(A48,Putze_Zubehör_Werte,10,FALSE)</f>
        <v>0</v>
      </c>
      <c r="J48" s="51">
        <f>IF($A48="Keine Auswahl",0,$B$12)</f>
        <v>0</v>
      </c>
      <c r="K48" s="50">
        <f>I48-(I48*J48)</f>
        <v>0</v>
      </c>
      <c r="L48" s="48" t="s">
        <v>7</v>
      </c>
      <c r="M48" s="96">
        <f>E45*F45*K48</f>
        <v>0</v>
      </c>
      <c r="O48" s="80"/>
    </row>
    <row r="49" spans="1:15" s="27" customFormat="1" ht="15" x14ac:dyDescent="0.2">
      <c r="A49" s="91" t="s">
        <v>2</v>
      </c>
      <c r="B49" s="26"/>
      <c r="C49" s="26"/>
      <c r="D49" s="26"/>
      <c r="E49" s="26"/>
      <c r="F49" s="26"/>
      <c r="G49" s="26"/>
      <c r="H49" s="26"/>
      <c r="I49" s="26"/>
      <c r="J49" s="30"/>
      <c r="K49" s="26"/>
      <c r="L49" s="26"/>
      <c r="M49" s="92"/>
    </row>
    <row r="50" spans="1:15" s="46" customFormat="1" ht="30" customHeight="1" x14ac:dyDescent="0.2">
      <c r="A50" s="93" t="s">
        <v>257</v>
      </c>
      <c r="B50" s="41" t="s">
        <v>62</v>
      </c>
      <c r="C50" s="42" t="s">
        <v>88</v>
      </c>
      <c r="D50" s="42" t="s">
        <v>89</v>
      </c>
      <c r="E50" s="42" t="s">
        <v>64</v>
      </c>
      <c r="F50" s="41" t="s">
        <v>31</v>
      </c>
      <c r="G50" s="41" t="s">
        <v>68</v>
      </c>
      <c r="H50" s="52"/>
      <c r="I50" s="44" t="s">
        <v>81</v>
      </c>
      <c r="J50" s="45" t="s">
        <v>29</v>
      </c>
      <c r="K50" s="41" t="s">
        <v>101</v>
      </c>
      <c r="L50" s="41" t="s">
        <v>4</v>
      </c>
      <c r="M50" s="94" t="s">
        <v>1</v>
      </c>
      <c r="O50" s="80"/>
    </row>
    <row r="51" spans="1:15" s="43" customFormat="1" ht="30" customHeight="1" x14ac:dyDescent="0.25">
      <c r="A51" s="95" t="s">
        <v>161</v>
      </c>
      <c r="B51" s="47">
        <f>IF($A51="Keine Auswahl",0,$B$9)</f>
        <v>200</v>
      </c>
      <c r="C51" s="48">
        <f>VLOOKUP(A51,Putze_Zubehör_Werte,6,FALSE)</f>
        <v>0.4</v>
      </c>
      <c r="D51" s="49">
        <f>B51*C51</f>
        <v>80</v>
      </c>
      <c r="E51" s="49">
        <f>VLOOKUP(A51,Putze_Zubehör_Werte,3,FALSE)</f>
        <v>15</v>
      </c>
      <c r="F51" s="48">
        <f>IF($A51="Keine Auswahl",0,ROUNDUP($D51/$E51,0))</f>
        <v>6</v>
      </c>
      <c r="G51" s="48">
        <f>F51*E51</f>
        <v>90</v>
      </c>
      <c r="I51" s="50">
        <f>IF(A51="Keine Auswahl",VLOOKUP(A51,Putze_Zubehör_Werte,10,FALSE),(VLOOKUP(A51,Schlussanstrich_Staffelung_Mineral,5,FALSE)))</f>
        <v>15.84</v>
      </c>
      <c r="J51" s="51">
        <f>IF($A51="Keine Auswahl",0,$B$12)</f>
        <v>0</v>
      </c>
      <c r="K51" s="50">
        <f>I51-(I51*J51)</f>
        <v>15.84</v>
      </c>
      <c r="L51" s="48" t="s">
        <v>11</v>
      </c>
      <c r="M51" s="96">
        <f>E51*F51*K51</f>
        <v>1425.6</v>
      </c>
      <c r="O51" s="80"/>
    </row>
    <row r="52" spans="1:15" s="27" customFormat="1" ht="15" x14ac:dyDescent="0.2">
      <c r="A52" s="91"/>
      <c r="B52" s="26"/>
      <c r="C52" s="26"/>
      <c r="D52" s="26"/>
      <c r="E52" s="26"/>
      <c r="F52" s="26"/>
      <c r="G52" s="26"/>
      <c r="H52" s="26"/>
      <c r="I52" s="26"/>
      <c r="J52" s="30"/>
      <c r="K52" s="26"/>
      <c r="L52" s="26"/>
      <c r="M52" s="92"/>
    </row>
    <row r="53" spans="1:15" s="46" customFormat="1" ht="30" customHeight="1" x14ac:dyDescent="0.2">
      <c r="A53" s="93" t="s">
        <v>138</v>
      </c>
      <c r="B53" s="41" t="s">
        <v>62</v>
      </c>
      <c r="C53" s="42" t="s">
        <v>88</v>
      </c>
      <c r="D53" s="42" t="s">
        <v>89</v>
      </c>
      <c r="E53" s="42" t="s">
        <v>64</v>
      </c>
      <c r="F53" s="41" t="s">
        <v>31</v>
      </c>
      <c r="G53" s="41" t="s">
        <v>68</v>
      </c>
      <c r="H53" s="52"/>
      <c r="I53" s="44" t="s">
        <v>81</v>
      </c>
      <c r="J53" s="45" t="s">
        <v>29</v>
      </c>
      <c r="K53" s="41" t="s">
        <v>101</v>
      </c>
      <c r="L53" s="41" t="s">
        <v>4</v>
      </c>
      <c r="M53" s="94" t="s">
        <v>1</v>
      </c>
      <c r="O53" s="80"/>
    </row>
    <row r="54" spans="1:15" s="43" customFormat="1" ht="30" customHeight="1" x14ac:dyDescent="0.25">
      <c r="A54" s="95" t="s">
        <v>96</v>
      </c>
      <c r="B54" s="47">
        <f>IF($A54="Keine Auswahl",0,$B$9)</f>
        <v>0</v>
      </c>
      <c r="C54" s="48">
        <v>0</v>
      </c>
      <c r="D54" s="49">
        <f>B54*C54</f>
        <v>0</v>
      </c>
      <c r="E54" s="48">
        <v>0</v>
      </c>
      <c r="F54" s="48">
        <v>0</v>
      </c>
      <c r="G54" s="48">
        <v>0</v>
      </c>
      <c r="I54" s="50">
        <f>VLOOKUP(A54,Putze_Zubehör_Werte,10,FALSE)</f>
        <v>0</v>
      </c>
      <c r="J54" s="51">
        <f>IF($A54="Keine Auswahl",0,$B$12)</f>
        <v>0</v>
      </c>
      <c r="K54" s="50">
        <f>I54-(I54*J54)</f>
        <v>0</v>
      </c>
      <c r="L54" s="48" t="s">
        <v>11</v>
      </c>
      <c r="M54" s="96">
        <f>E51*F51*K54</f>
        <v>0</v>
      </c>
      <c r="O54" s="80"/>
    </row>
    <row r="55" spans="1:15" s="27" customFormat="1" ht="15.75" thickBot="1" x14ac:dyDescent="0.25">
      <c r="B55" s="26"/>
      <c r="C55" s="26"/>
      <c r="D55" s="26"/>
      <c r="E55" s="26"/>
      <c r="F55" s="26"/>
      <c r="G55" s="26"/>
      <c r="H55" s="26"/>
      <c r="I55" s="26"/>
      <c r="J55" s="30"/>
      <c r="K55" s="26"/>
      <c r="L55" s="26"/>
      <c r="M55" s="26"/>
      <c r="O55" s="80"/>
    </row>
    <row r="56" spans="1:15" s="27" customFormat="1" ht="36" customHeight="1" x14ac:dyDescent="0.2">
      <c r="A56" s="242" t="s">
        <v>133</v>
      </c>
      <c r="B56" s="243"/>
      <c r="C56" s="243"/>
      <c r="D56" s="243"/>
      <c r="E56" s="243"/>
      <c r="F56" s="243"/>
      <c r="G56" s="243"/>
      <c r="H56" s="243"/>
      <c r="I56" s="243"/>
      <c r="J56" s="243"/>
      <c r="K56" s="243"/>
      <c r="L56" s="243"/>
      <c r="M56" s="244"/>
      <c r="O56" s="80"/>
    </row>
    <row r="57" spans="1:15" s="27" customFormat="1" ht="15" x14ac:dyDescent="0.2">
      <c r="A57" s="91"/>
      <c r="B57" s="26"/>
      <c r="C57" s="26"/>
      <c r="D57" s="26"/>
      <c r="E57" s="26"/>
      <c r="F57" s="26"/>
      <c r="G57" s="26"/>
      <c r="H57" s="26"/>
      <c r="I57" s="26"/>
      <c r="J57" s="30"/>
      <c r="K57" s="26"/>
      <c r="L57" s="26"/>
      <c r="M57" s="92"/>
    </row>
    <row r="58" spans="1:15" s="46" customFormat="1" ht="30" customHeight="1" x14ac:dyDescent="0.2">
      <c r="A58" s="93" t="s">
        <v>249</v>
      </c>
      <c r="B58" s="41" t="s">
        <v>62</v>
      </c>
      <c r="C58" s="42" t="s">
        <v>84</v>
      </c>
      <c r="D58" s="42" t="s">
        <v>85</v>
      </c>
      <c r="E58" s="42" t="s">
        <v>57</v>
      </c>
      <c r="F58" s="41" t="s">
        <v>69</v>
      </c>
      <c r="G58" s="41" t="s">
        <v>66</v>
      </c>
      <c r="H58" s="52"/>
      <c r="I58" s="44" t="s">
        <v>81</v>
      </c>
      <c r="J58" s="45" t="s">
        <v>29</v>
      </c>
      <c r="K58" s="41" t="s">
        <v>101</v>
      </c>
      <c r="L58" s="41" t="s">
        <v>4</v>
      </c>
      <c r="M58" s="94" t="s">
        <v>1</v>
      </c>
      <c r="O58" s="80"/>
    </row>
    <row r="59" spans="1:15" s="43" customFormat="1" ht="30" customHeight="1" x14ac:dyDescent="0.25">
      <c r="A59" s="95" t="s">
        <v>171</v>
      </c>
      <c r="B59" s="47">
        <f>IF($A59="Keine Auswahl",0,$B$10)</f>
        <v>20</v>
      </c>
      <c r="C59" s="48">
        <f>VLOOKUP(A59,Putze_Zubehör_Werte,6,FALSE)</f>
        <v>7</v>
      </c>
      <c r="D59" s="49">
        <f>B59*C59</f>
        <v>140</v>
      </c>
      <c r="E59" s="49">
        <f>VLOOKUP(A59,Putze_Zubehör_Werte,3,FALSE)</f>
        <v>25</v>
      </c>
      <c r="F59" s="48">
        <f>IF($A59="Keine Auswahl",0,ROUNDUP($D59/$E59,0))</f>
        <v>6</v>
      </c>
      <c r="G59" s="48">
        <f>F59*E59</f>
        <v>150</v>
      </c>
      <c r="I59" s="50">
        <f>VLOOKUP(A59,Putze_Zubehör_Werte,10,FALSE)</f>
        <v>3.84</v>
      </c>
      <c r="J59" s="51">
        <f>IF($A59="Keine Auswahl",0,$B$12)</f>
        <v>0</v>
      </c>
      <c r="K59" s="50">
        <f>I59-(I59*J59)</f>
        <v>3.84</v>
      </c>
      <c r="L59" s="48" t="s">
        <v>7</v>
      </c>
      <c r="M59" s="96">
        <f>E59*F59*K59</f>
        <v>576</v>
      </c>
      <c r="O59" s="80"/>
    </row>
    <row r="60" spans="1:15" s="27" customFormat="1" ht="15" x14ac:dyDescent="0.2">
      <c r="A60" s="91"/>
      <c r="B60" s="26"/>
      <c r="C60" s="26"/>
      <c r="D60" s="26"/>
      <c r="E60" s="26"/>
      <c r="F60" s="26"/>
      <c r="G60" s="26"/>
      <c r="H60" s="26"/>
      <c r="I60" s="26"/>
      <c r="J60" s="30"/>
      <c r="K60" s="26"/>
      <c r="L60" s="26"/>
      <c r="M60" s="92"/>
    </row>
    <row r="61" spans="1:15" s="46" customFormat="1" ht="30" customHeight="1" x14ac:dyDescent="0.2">
      <c r="A61" s="93" t="s">
        <v>52</v>
      </c>
      <c r="B61" s="41" t="s">
        <v>62</v>
      </c>
      <c r="C61" s="42" t="s">
        <v>86</v>
      </c>
      <c r="D61" s="42" t="s">
        <v>87</v>
      </c>
      <c r="E61" s="42" t="s">
        <v>56</v>
      </c>
      <c r="F61" s="41" t="s">
        <v>59</v>
      </c>
      <c r="G61" s="41" t="s">
        <v>67</v>
      </c>
      <c r="H61" s="52"/>
      <c r="I61" s="44" t="s">
        <v>81</v>
      </c>
      <c r="J61" s="45" t="s">
        <v>29</v>
      </c>
      <c r="K61" s="41" t="s">
        <v>101</v>
      </c>
      <c r="L61" s="41" t="s">
        <v>4</v>
      </c>
      <c r="M61" s="94" t="s">
        <v>1</v>
      </c>
      <c r="O61" s="80"/>
    </row>
    <row r="62" spans="1:15" s="43" customFormat="1" ht="30" customHeight="1" x14ac:dyDescent="0.25">
      <c r="A62" s="95" t="s">
        <v>244</v>
      </c>
      <c r="B62" s="47">
        <f>IF($A62="Keine Auswahl",0,$B$10)</f>
        <v>20</v>
      </c>
      <c r="C62" s="48">
        <f>VLOOKUP(A62,Putze_Zubehör_Werte,6,FALSE)</f>
        <v>1</v>
      </c>
      <c r="D62" s="49">
        <f>B62*C62</f>
        <v>20</v>
      </c>
      <c r="E62" s="49">
        <f>VLOOKUP(A62,Putze_Zubehör_Werte,3,FALSE)</f>
        <v>50</v>
      </c>
      <c r="F62" s="48">
        <f>IF($A62="Keine Auswahl",0,ROUNDUP($D62/$E62,0))</f>
        <v>1</v>
      </c>
      <c r="G62" s="48">
        <f>F62*E62</f>
        <v>50</v>
      </c>
      <c r="I62" s="50">
        <f>IF(A62="Keine Auswahl",VLOOKUP(A62,Putze_Zubehör_Werte,10,FALSE),(VLOOKUP(A62,Gewebe_Staffelung_Mineral,5,FALSE)))</f>
        <v>2.9</v>
      </c>
      <c r="J62" s="51">
        <f>IF($A62="Keine Auswahl",0,$B$12)</f>
        <v>0</v>
      </c>
      <c r="K62" s="50">
        <f>I62-(I62*J62)</f>
        <v>2.9</v>
      </c>
      <c r="L62" s="48" t="s">
        <v>3</v>
      </c>
      <c r="M62" s="96">
        <f>E62*F62*K62</f>
        <v>145</v>
      </c>
      <c r="O62" s="80"/>
    </row>
    <row r="63" spans="1:15" s="27" customFormat="1" ht="15" x14ac:dyDescent="0.2">
      <c r="A63" s="91"/>
      <c r="B63" s="26"/>
      <c r="C63" s="26"/>
      <c r="D63" s="26"/>
      <c r="E63" s="26"/>
      <c r="F63" s="26"/>
      <c r="G63" s="26"/>
      <c r="H63" s="26"/>
      <c r="I63" s="26"/>
      <c r="J63" s="30"/>
      <c r="K63" s="26"/>
      <c r="L63" s="26"/>
      <c r="M63" s="92"/>
    </row>
    <row r="64" spans="1:15" s="46" customFormat="1" ht="30" customHeight="1" x14ac:dyDescent="0.2">
      <c r="A64" s="93" t="s">
        <v>135</v>
      </c>
      <c r="B64" s="41" t="s">
        <v>62</v>
      </c>
      <c r="C64" s="42" t="s">
        <v>84</v>
      </c>
      <c r="D64" s="42" t="s">
        <v>85</v>
      </c>
      <c r="E64" s="42" t="s">
        <v>57</v>
      </c>
      <c r="F64" s="41" t="s">
        <v>69</v>
      </c>
      <c r="G64" s="41" t="s">
        <v>66</v>
      </c>
      <c r="H64" s="52"/>
      <c r="I64" s="44" t="s">
        <v>81</v>
      </c>
      <c r="J64" s="45" t="s">
        <v>29</v>
      </c>
      <c r="K64" s="41" t="s">
        <v>101</v>
      </c>
      <c r="L64" s="41" t="s">
        <v>4</v>
      </c>
      <c r="M64" s="94" t="s">
        <v>1</v>
      </c>
      <c r="O64" s="80"/>
    </row>
    <row r="65" spans="1:15" s="43" customFormat="1" ht="30" customHeight="1" x14ac:dyDescent="0.25">
      <c r="A65" s="95" t="s">
        <v>171</v>
      </c>
      <c r="B65" s="47">
        <f>IF($A65="Keine Auswahl",0,$B$10)</f>
        <v>20</v>
      </c>
      <c r="C65" s="48">
        <f>VLOOKUP(A65,Putze_Zubehör_Werte,6,FALSE)</f>
        <v>7</v>
      </c>
      <c r="D65" s="49">
        <f>B65*C65</f>
        <v>140</v>
      </c>
      <c r="E65" s="49">
        <f>VLOOKUP(A65,Putze_Zubehör_Werte,3,FALSE)</f>
        <v>25</v>
      </c>
      <c r="F65" s="48">
        <f>IF($A65="Keine Auswahl",0,ROUNDUP($D65/$E65,0))</f>
        <v>6</v>
      </c>
      <c r="G65" s="48">
        <f>F65*E65</f>
        <v>150</v>
      </c>
      <c r="I65" s="50">
        <f>VLOOKUP(A65,Putze_Zubehör_Werte,10,FALSE)</f>
        <v>3.84</v>
      </c>
      <c r="J65" s="51">
        <f>IF($A65="Keine Auswahl",0,$B$12)</f>
        <v>0</v>
      </c>
      <c r="K65" s="50">
        <f>I65-(I65*J65)</f>
        <v>3.84</v>
      </c>
      <c r="L65" s="48" t="s">
        <v>7</v>
      </c>
      <c r="M65" s="96">
        <f>E65*F65*K65</f>
        <v>576</v>
      </c>
      <c r="O65" s="80"/>
    </row>
    <row r="66" spans="1:15" s="27" customFormat="1" ht="15" x14ac:dyDescent="0.2">
      <c r="A66" s="91"/>
      <c r="B66" s="26"/>
      <c r="C66" s="26"/>
      <c r="D66" s="26"/>
      <c r="E66" s="26"/>
      <c r="F66" s="26"/>
      <c r="G66" s="26"/>
      <c r="H66" s="26"/>
      <c r="I66" s="26"/>
      <c r="J66" s="30"/>
      <c r="K66" s="26"/>
      <c r="L66" s="26"/>
      <c r="M66" s="92"/>
    </row>
    <row r="67" spans="1:15" s="46" customFormat="1" ht="30" customHeight="1" x14ac:dyDescent="0.2">
      <c r="A67" s="93" t="s">
        <v>137</v>
      </c>
      <c r="B67" s="41" t="s">
        <v>62</v>
      </c>
      <c r="C67" s="42" t="s">
        <v>84</v>
      </c>
      <c r="D67" s="42" t="s">
        <v>85</v>
      </c>
      <c r="E67" s="42" t="s">
        <v>57</v>
      </c>
      <c r="F67" s="41" t="s">
        <v>69</v>
      </c>
      <c r="G67" s="41" t="s">
        <v>66</v>
      </c>
      <c r="H67" s="52"/>
      <c r="I67" s="44" t="s">
        <v>81</v>
      </c>
      <c r="J67" s="45" t="s">
        <v>29</v>
      </c>
      <c r="K67" s="41" t="s">
        <v>101</v>
      </c>
      <c r="L67" s="41" t="s">
        <v>4</v>
      </c>
      <c r="M67" s="94" t="s">
        <v>1</v>
      </c>
      <c r="O67" s="80"/>
    </row>
    <row r="68" spans="1:15" s="43" customFormat="1" ht="30" customHeight="1" thickBot="1" x14ac:dyDescent="0.3">
      <c r="A68" s="98" t="s">
        <v>170</v>
      </c>
      <c r="B68" s="99">
        <f>IF($A68="Keine Auswahl",0,$B$10)</f>
        <v>20</v>
      </c>
      <c r="C68" s="100">
        <f>VLOOKUP(A68,Putze_Zubehör_Werte,6,FALSE)</f>
        <v>1.5</v>
      </c>
      <c r="D68" s="101">
        <f>B68*C68</f>
        <v>30</v>
      </c>
      <c r="E68" s="101">
        <f>VLOOKUP(A68,Putze_Zubehör_Werte,3,FALSE)</f>
        <v>25</v>
      </c>
      <c r="F68" s="100">
        <f>IF($A68="Keine Auswahl",0,ROUNDUP($D68/$E68,0))</f>
        <v>2</v>
      </c>
      <c r="G68" s="100">
        <f>F68*E68</f>
        <v>50</v>
      </c>
      <c r="H68" s="102"/>
      <c r="I68" s="103">
        <f>VLOOKUP(A68,Putze_Zubehör_Werte,10,FALSE)</f>
        <v>3.13</v>
      </c>
      <c r="J68" s="104">
        <f>IF($A68="Keine Auswahl",0,$B$12)</f>
        <v>0</v>
      </c>
      <c r="K68" s="103">
        <f>I68-(I68*J68)</f>
        <v>3.13</v>
      </c>
      <c r="L68" s="100" t="s">
        <v>7</v>
      </c>
      <c r="M68" s="105">
        <f>E68*F68*K68</f>
        <v>156.5</v>
      </c>
      <c r="O68" s="80"/>
    </row>
    <row r="69" spans="1:15" customFormat="1" ht="15" x14ac:dyDescent="0.25"/>
    <row r="70" spans="1:15" s="27" customFormat="1" ht="15.75" thickBot="1" x14ac:dyDescent="0.25">
      <c r="J70" s="35"/>
      <c r="M70" s="26"/>
    </row>
    <row r="71" spans="1:15" ht="15.75" thickBot="1" x14ac:dyDescent="0.25">
      <c r="B71" s="24"/>
      <c r="C71" s="24"/>
      <c r="D71" s="24"/>
      <c r="E71" s="24"/>
      <c r="F71" s="24"/>
      <c r="G71" s="24"/>
      <c r="H71" s="24"/>
      <c r="I71" s="53" t="s">
        <v>77</v>
      </c>
      <c r="J71" s="54"/>
      <c r="K71" s="55"/>
      <c r="L71" s="56"/>
      <c r="M71" s="57">
        <f>SUM(M18:M68)</f>
        <v>19952.576799999999</v>
      </c>
    </row>
    <row r="72" spans="1:15" ht="15.75" thickBot="1" x14ac:dyDescent="0.3">
      <c r="B72" s="24"/>
      <c r="C72" s="24"/>
      <c r="D72" s="24"/>
      <c r="E72" s="24"/>
      <c r="F72" s="24"/>
      <c r="G72" s="24"/>
      <c r="H72" s="24"/>
      <c r="I72" s="58" t="s">
        <v>134</v>
      </c>
      <c r="J72" s="59">
        <v>0.19</v>
      </c>
      <c r="K72" s="60"/>
      <c r="L72" s="61"/>
      <c r="M72" s="62">
        <f>M71/1*J72</f>
        <v>3790.9895919999999</v>
      </c>
    </row>
    <row r="73" spans="1:15" ht="15.75" thickBot="1" x14ac:dyDescent="0.25">
      <c r="B73" s="24"/>
      <c r="C73" s="24"/>
      <c r="D73" s="24"/>
      <c r="E73" s="24"/>
      <c r="F73" s="24"/>
      <c r="G73" s="24"/>
      <c r="H73" s="24"/>
      <c r="I73" s="63" t="s">
        <v>78</v>
      </c>
      <c r="J73" s="64"/>
      <c r="K73" s="65"/>
      <c r="L73" s="66"/>
      <c r="M73" s="67">
        <f>SUM(M71:M72)</f>
        <v>23743.566392000001</v>
      </c>
    </row>
    <row r="74" spans="1:15" s="83" customFormat="1" ht="12.75" x14ac:dyDescent="0.2">
      <c r="A74" s="123" t="s">
        <v>75</v>
      </c>
      <c r="B74" s="81"/>
      <c r="C74" s="43"/>
      <c r="D74" s="43"/>
      <c r="E74" s="43"/>
      <c r="F74" s="43"/>
      <c r="G74" s="43"/>
      <c r="H74" s="43"/>
      <c r="I74" s="46"/>
      <c r="J74" s="82"/>
      <c r="K74" s="46"/>
      <c r="L74" s="46"/>
      <c r="M74" s="43"/>
    </row>
    <row r="75" spans="1:15" s="83" customFormat="1" ht="18" customHeight="1" x14ac:dyDescent="0.2">
      <c r="A75" s="84" t="s">
        <v>125</v>
      </c>
      <c r="B75" s="81"/>
      <c r="C75" s="43"/>
      <c r="D75" s="43"/>
      <c r="E75" s="43"/>
      <c r="F75" s="43"/>
      <c r="G75" s="43"/>
      <c r="H75" s="43"/>
      <c r="I75" s="46"/>
      <c r="J75" s="82"/>
      <c r="K75" s="46"/>
      <c r="L75" s="46"/>
      <c r="M75" s="43"/>
    </row>
    <row r="76" spans="1:15" s="83" customFormat="1" ht="12.75" x14ac:dyDescent="0.2">
      <c r="A76" s="85"/>
      <c r="B76" s="81"/>
      <c r="C76" s="43"/>
      <c r="D76" s="43"/>
      <c r="E76" s="43"/>
      <c r="F76" s="43"/>
      <c r="G76" s="43"/>
      <c r="H76" s="43"/>
      <c r="I76" s="46"/>
      <c r="J76" s="82"/>
      <c r="K76" s="46"/>
      <c r="L76" s="46"/>
      <c r="M76" s="43"/>
    </row>
    <row r="77" spans="1:15" s="83" customFormat="1" ht="12.75" x14ac:dyDescent="0.2">
      <c r="A77" s="124" t="s">
        <v>209</v>
      </c>
      <c r="B77" s="81"/>
      <c r="C77" s="43"/>
      <c r="D77" s="43"/>
      <c r="E77" s="43"/>
      <c r="F77" s="43"/>
      <c r="G77" s="43"/>
      <c r="H77" s="43"/>
      <c r="I77" s="43"/>
      <c r="J77" s="74"/>
      <c r="K77" s="43"/>
      <c r="L77" s="43"/>
      <c r="M77" s="43"/>
    </row>
    <row r="78" spans="1:15" s="83" customFormat="1" ht="12.75" x14ac:dyDescent="0.2">
      <c r="A78" s="125" t="s">
        <v>276</v>
      </c>
      <c r="B78" s="121"/>
      <c r="C78" s="122"/>
      <c r="D78" s="122"/>
      <c r="E78" s="122"/>
      <c r="F78" s="122"/>
      <c r="G78" s="43"/>
      <c r="H78" s="43"/>
      <c r="I78" s="43"/>
      <c r="J78" s="74"/>
      <c r="K78" s="43"/>
      <c r="L78" s="43"/>
      <c r="M78" s="43"/>
    </row>
    <row r="79" spans="1:15" s="83" customFormat="1" ht="12.75" x14ac:dyDescent="0.2">
      <c r="A79" s="85" t="s">
        <v>79</v>
      </c>
      <c r="B79" s="43"/>
      <c r="C79" s="43"/>
      <c r="D79" s="43"/>
      <c r="E79" s="43"/>
      <c r="F79" s="43"/>
      <c r="G79" s="43"/>
      <c r="H79" s="43"/>
      <c r="I79" s="43"/>
      <c r="J79" s="74"/>
      <c r="K79" s="43"/>
      <c r="L79" s="43"/>
      <c r="M79" s="43"/>
    </row>
    <row r="80" spans="1:15" s="83" customFormat="1" ht="26.1" customHeight="1" x14ac:dyDescent="0.2">
      <c r="A80" s="239" t="s">
        <v>208</v>
      </c>
      <c r="B80" s="239"/>
      <c r="C80" s="43"/>
      <c r="D80" s="43"/>
      <c r="E80" s="43"/>
      <c r="F80" s="43"/>
      <c r="G80" s="43"/>
      <c r="H80" s="43"/>
      <c r="I80" s="43"/>
      <c r="J80" s="74"/>
      <c r="K80" s="43"/>
      <c r="L80" s="43"/>
      <c r="M80" s="43"/>
    </row>
    <row r="81" spans="1:13" s="83" customFormat="1" ht="12.75" x14ac:dyDescent="0.2">
      <c r="A81" s="125" t="s">
        <v>76</v>
      </c>
      <c r="B81" s="43"/>
      <c r="C81" s="43"/>
      <c r="D81" s="43"/>
      <c r="E81" s="43"/>
      <c r="F81" s="43"/>
      <c r="G81" s="43"/>
      <c r="H81" s="43"/>
      <c r="I81" s="43"/>
      <c r="J81" s="74"/>
      <c r="K81" s="43"/>
      <c r="L81" s="43"/>
      <c r="M81" s="43"/>
    </row>
    <row r="82" spans="1:13" s="83" customFormat="1" ht="12.75" x14ac:dyDescent="0.2">
      <c r="A82" s="85" t="s">
        <v>94</v>
      </c>
      <c r="B82" s="43"/>
      <c r="C82" s="43"/>
      <c r="D82" s="43"/>
      <c r="E82" s="43"/>
      <c r="F82" s="43"/>
      <c r="G82" s="43"/>
      <c r="H82" s="43"/>
      <c r="I82" s="43"/>
      <c r="J82" s="74"/>
      <c r="K82" s="43"/>
      <c r="L82" s="43"/>
      <c r="M82" s="43"/>
    </row>
    <row r="83" spans="1:13" s="83" customFormat="1" ht="15" customHeight="1" x14ac:dyDescent="0.2">
      <c r="A83" s="239" t="s">
        <v>210</v>
      </c>
      <c r="B83" s="239"/>
      <c r="C83" s="43"/>
      <c r="D83" s="43"/>
      <c r="E83" s="43"/>
      <c r="F83" s="43"/>
      <c r="G83" s="43"/>
      <c r="H83" s="43"/>
      <c r="I83" s="43"/>
      <c r="J83" s="74"/>
      <c r="K83" s="43"/>
      <c r="L83" s="43"/>
      <c r="M83" s="43"/>
    </row>
    <row r="84" spans="1:13" s="83" customFormat="1" ht="12.75" x14ac:dyDescent="0.2">
      <c r="A84" s="166"/>
      <c r="B84" s="166"/>
      <c r="C84" s="43"/>
      <c r="D84" s="43"/>
      <c r="E84" s="43"/>
      <c r="F84" s="43"/>
      <c r="G84" s="43"/>
      <c r="H84" s="43"/>
      <c r="I84" s="43"/>
      <c r="J84" s="74"/>
      <c r="K84" s="43"/>
      <c r="L84" s="43"/>
      <c r="M84" s="43"/>
    </row>
    <row r="85" spans="1:13" s="83" customFormat="1" ht="12.75" x14ac:dyDescent="0.2">
      <c r="A85" s="124" t="s">
        <v>124</v>
      </c>
      <c r="B85" s="43"/>
      <c r="C85" s="43"/>
      <c r="D85" s="43"/>
      <c r="E85" s="43"/>
      <c r="F85" s="43"/>
      <c r="G85" s="43"/>
      <c r="H85" s="43"/>
      <c r="I85" s="43"/>
      <c r="J85" s="74"/>
      <c r="K85" s="43"/>
      <c r="L85" s="43"/>
      <c r="M85" s="43"/>
    </row>
    <row r="86" spans="1:13" s="83" customFormat="1" ht="12.75" x14ac:dyDescent="0.2">
      <c r="A86" s="239" t="s">
        <v>126</v>
      </c>
      <c r="B86" s="239"/>
      <c r="C86" s="239"/>
      <c r="D86" s="239"/>
      <c r="E86" s="239"/>
      <c r="F86" s="239"/>
      <c r="G86" s="239"/>
      <c r="H86" s="43"/>
      <c r="I86" s="43"/>
      <c r="J86" s="74"/>
      <c r="K86" s="43"/>
      <c r="L86" s="43"/>
      <c r="M86" s="43"/>
    </row>
    <row r="87" spans="1:13" s="83" customFormat="1" ht="12.75" x14ac:dyDescent="0.2">
      <c r="A87" s="239"/>
      <c r="B87" s="239"/>
      <c r="C87" s="239"/>
      <c r="D87" s="239"/>
      <c r="E87" s="239"/>
      <c r="F87" s="239"/>
      <c r="G87" s="239"/>
      <c r="H87" s="43"/>
      <c r="I87" s="43"/>
      <c r="J87" s="74"/>
      <c r="K87" s="43"/>
      <c r="L87" s="43"/>
      <c r="M87" s="43"/>
    </row>
    <row r="88" spans="1:13" s="83" customFormat="1" ht="16.5" customHeight="1" x14ac:dyDescent="0.2">
      <c r="A88" s="87"/>
      <c r="B88" s="88"/>
      <c r="C88" s="88"/>
      <c r="D88" s="88"/>
      <c r="E88" s="88"/>
      <c r="F88" s="88"/>
      <c r="G88" s="88"/>
      <c r="H88" s="88"/>
      <c r="I88" s="88"/>
      <c r="J88" s="89"/>
      <c r="K88" s="88"/>
      <c r="L88" s="88"/>
      <c r="M88" s="43"/>
    </row>
    <row r="89" spans="1:13" s="83" customFormat="1" ht="18" customHeight="1" x14ac:dyDescent="0.2">
      <c r="A89" s="239" t="s">
        <v>111</v>
      </c>
      <c r="B89" s="239"/>
      <c r="C89" s="239"/>
      <c r="D89" s="239"/>
      <c r="E89" s="239"/>
      <c r="F89" s="239"/>
      <c r="G89" s="239"/>
      <c r="H89" s="239"/>
      <c r="I89" s="239"/>
      <c r="J89" s="239"/>
      <c r="K89" s="43"/>
      <c r="L89" s="43"/>
      <c r="M89" s="43"/>
    </row>
    <row r="90" spans="1:13" s="83" customFormat="1" ht="61.5" customHeight="1" x14ac:dyDescent="0.2">
      <c r="A90" s="238" t="s">
        <v>207</v>
      </c>
      <c r="B90" s="238"/>
      <c r="C90" s="238"/>
      <c r="D90" s="238"/>
      <c r="E90" s="238"/>
      <c r="F90" s="238"/>
      <c r="G90" s="238"/>
      <c r="H90" s="238"/>
      <c r="I90" s="238"/>
      <c r="J90" s="238"/>
      <c r="K90" s="43"/>
      <c r="L90" s="43"/>
      <c r="M90" s="43"/>
    </row>
    <row r="91" spans="1:13" s="83" customFormat="1" ht="12.75" x14ac:dyDescent="0.2">
      <c r="A91" s="166"/>
      <c r="B91" s="43"/>
      <c r="C91" s="43"/>
      <c r="D91" s="43"/>
      <c r="E91" s="43"/>
      <c r="F91" s="43"/>
      <c r="G91" s="43"/>
      <c r="H91" s="43"/>
      <c r="I91" s="43"/>
      <c r="J91" s="74"/>
      <c r="K91" s="43"/>
      <c r="L91" s="43"/>
      <c r="M91" s="43"/>
    </row>
    <row r="92" spans="1:13" s="83" customFormat="1" ht="12.75" x14ac:dyDescent="0.2">
      <c r="A92" s="90" t="s">
        <v>278</v>
      </c>
      <c r="B92" s="43"/>
      <c r="C92" s="43"/>
      <c r="D92" s="43"/>
      <c r="E92" s="43"/>
      <c r="F92" s="43"/>
      <c r="G92" s="43"/>
      <c r="H92" s="43"/>
      <c r="I92" s="43"/>
      <c r="J92" s="74"/>
      <c r="K92" s="43"/>
      <c r="L92" s="43"/>
      <c r="M92" s="43"/>
    </row>
    <row r="93" spans="1:13" s="28" customFormat="1" x14ac:dyDescent="0.2">
      <c r="B93" s="25"/>
      <c r="C93" s="25"/>
      <c r="D93" s="25"/>
      <c r="E93" s="25"/>
      <c r="F93" s="25"/>
      <c r="G93" s="25"/>
      <c r="H93" s="25"/>
      <c r="I93" s="25"/>
      <c r="J93" s="29"/>
      <c r="K93" s="25"/>
      <c r="L93" s="25"/>
      <c r="M93" s="25"/>
    </row>
    <row r="98" spans="2:2" x14ac:dyDescent="0.2">
      <c r="B98" s="24"/>
    </row>
  </sheetData>
  <sheetProtection algorithmName="SHA-512" hashValue="LhgmBNCCU/gaFFQJcBDK965T+RHvOZBOLcNG7oq+lFZbcns4OKEemiPxxJLIqXqHpaxtQCCigGWpINy3F2y+yg==" saltValue="C2ZPDd0frogX0j8krERCAg==" spinCount="100000" sheet="1" objects="1" scenarios="1" selectLockedCells="1"/>
  <protectedRanges>
    <protectedRange password="DF93" sqref="L9:M12" name="Kontaktdaten"/>
    <protectedRange password="DF93" sqref="A21:A22 A24 A28:A49 A53:A54 A19 A25:A26 A57 A59:A69 A51" name="Auswahl Variante"/>
    <protectedRange password="DF93" sqref="B9:B12" name="Putzfläche Rabatt"/>
    <protectedRange password="DF93" sqref="B13" name="Putzfläche Rabatt_1"/>
    <protectedRange password="DF93" sqref="A17" name="Auswahl Variante_2"/>
    <protectedRange password="DF93" sqref="A58" name="Auswahl Variante_4"/>
    <protectedRange password="DF93" sqref="A50" name="Auswahl Variante_1"/>
  </protectedRanges>
  <mergeCells count="11">
    <mergeCell ref="A80:B80"/>
    <mergeCell ref="A83:B83"/>
    <mergeCell ref="A86:G87"/>
    <mergeCell ref="A89:J89"/>
    <mergeCell ref="A90:J90"/>
    <mergeCell ref="A56:M56"/>
    <mergeCell ref="L9:M9"/>
    <mergeCell ref="L10:M10"/>
    <mergeCell ref="L11:M11"/>
    <mergeCell ref="L12:M12"/>
    <mergeCell ref="A15:M15"/>
  </mergeCells>
  <dataValidations count="13">
    <dataValidation type="list" allowBlank="1" showInputMessage="1" showErrorMessage="1" sqref="A62">
      <formula1>Gewebe_Sockel_Name</formula1>
    </dataValidation>
    <dataValidation type="list" allowBlank="1" showInputMessage="1" showErrorMessage="1" sqref="A27 A18">
      <formula1>Armierung_Name</formula1>
    </dataValidation>
    <dataValidation type="list" allowBlank="1" showInputMessage="1" showErrorMessage="1" sqref="A68">
      <formula1>Sockel_Oberputz_Name</formula1>
    </dataValidation>
    <dataValidation type="list" allowBlank="1" showInputMessage="1" showErrorMessage="1" sqref="A39">
      <formula1>Oberputze_Name_1</formula1>
    </dataValidation>
    <dataValidation type="list" allowBlank="1" showInputMessage="1" showErrorMessage="1" sqref="A21">
      <formula1>Platten_Mineral_Name</formula1>
    </dataValidation>
    <dataValidation type="list" allowBlank="1" showInputMessage="1" showErrorMessage="1" sqref="A24">
      <formula1>Befestigung_Mineral_Name</formula1>
    </dataValidation>
    <dataValidation type="list" allowBlank="1" showInputMessage="1" showErrorMessage="1" sqref="A36 A42 A48">
      <formula1>Farbtonzuschlag_Beschichtung_Name</formula1>
    </dataValidation>
    <dataValidation type="list" allowBlank="1" showInputMessage="1" showErrorMessage="1" sqref="A51">
      <formula1>Schlussanstrich_Name</formula1>
    </dataValidation>
    <dataValidation type="list" allowBlank="1" showInputMessage="1" showErrorMessage="1" sqref="A45">
      <formula1>Oberputze_Name_2</formula1>
    </dataValidation>
    <dataValidation type="list" allowBlank="1" showInputMessage="1" showErrorMessage="1" sqref="A33">
      <formula1>Grundierung_Name</formula1>
    </dataValidation>
    <dataValidation type="list" allowBlank="1" showInputMessage="1" showErrorMessage="1" sqref="A30">
      <formula1>Gewebe_Fassade_Name</formula1>
    </dataValidation>
    <dataValidation type="list" allowBlank="1" showInputMessage="1" showErrorMessage="1" sqref="A59 A65">
      <formula1>Sockel_Armieren_Kleben_Name</formula1>
    </dataValidation>
    <dataValidation type="list" allowBlank="1" showInputMessage="1" showErrorMessage="1" sqref="A54">
      <formula1>Farbtonzuschlag_Anstrich_Name</formula1>
    </dataValidation>
  </dataValidations>
  <pageMargins left="0.79" right="0.70866141732283472" top="0.98" bottom="0.23622047244094491" header="0.15748031496062992" footer="0.15748031496062992"/>
  <pageSetup paperSize="9" scale="35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prompt="_x000a_">
          <x14:formula1>
            <xm:f>Platten!$Q$3:$Q$4</xm:f>
          </x14:formula1>
          <xm:sqref>B13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29</vt:i4>
      </vt:variant>
    </vt:vector>
  </HeadingPairs>
  <TitlesOfParts>
    <vt:vector size="38" baseType="lpstr">
      <vt:lpstr>Putze etc. </vt:lpstr>
      <vt:lpstr>Staffelpreise Timber</vt:lpstr>
      <vt:lpstr>Staffelpreise Mineral</vt:lpstr>
      <vt:lpstr>Befestigung-Timber</vt:lpstr>
      <vt:lpstr>Befestigung-Mineral</vt:lpstr>
      <vt:lpstr>Platten</vt:lpstr>
      <vt:lpstr>Platten-Mineral</vt:lpstr>
      <vt:lpstr>STEICOsecure Timber</vt:lpstr>
      <vt:lpstr>STEICOsecure Mineral</vt:lpstr>
      <vt:lpstr>Armierung_Name</vt:lpstr>
      <vt:lpstr>Befestigung_Mineral_Name</vt:lpstr>
      <vt:lpstr>Befestigung_Mineral_Werte</vt:lpstr>
      <vt:lpstr>Befestigung_Timber_Name</vt:lpstr>
      <vt:lpstr>Befestigung_Timber_Werte</vt:lpstr>
      <vt:lpstr>'STEICOsecure Mineral'!Druckbereich</vt:lpstr>
      <vt:lpstr>'STEICOsecure Timber'!Druckbereich</vt:lpstr>
      <vt:lpstr>Farbtonklasse_Name</vt:lpstr>
      <vt:lpstr>Farbtonzuschlag_Anstrich_Name</vt:lpstr>
      <vt:lpstr>Farbtonzuschlag_Beschichtung_Name</vt:lpstr>
      <vt:lpstr>Gewebe_Fassade_Name</vt:lpstr>
      <vt:lpstr>Gewebe_Sockel_Name</vt:lpstr>
      <vt:lpstr>Gewebe_Staffelung_Mineral</vt:lpstr>
      <vt:lpstr>Gewebe_Staffelung_Timber</vt:lpstr>
      <vt:lpstr>Grundierung_Name</vt:lpstr>
      <vt:lpstr>Grundierung_Staffelung_Mineral</vt:lpstr>
      <vt:lpstr>Grundierung_Staffelung_Timber</vt:lpstr>
      <vt:lpstr>Oberputze_Name_1</vt:lpstr>
      <vt:lpstr>Oberputze_Name_2</vt:lpstr>
      <vt:lpstr>Platten_Mineral_Name</vt:lpstr>
      <vt:lpstr>Platten_Mineral_Werte</vt:lpstr>
      <vt:lpstr>Platten_Timber_Name</vt:lpstr>
      <vt:lpstr>Platten_Timber_Werte</vt:lpstr>
      <vt:lpstr>Putze_Zubehör_Werte</vt:lpstr>
      <vt:lpstr>Schlussanstrich_Name</vt:lpstr>
      <vt:lpstr>Schlussanstrich_Staffelung_Mineral</vt:lpstr>
      <vt:lpstr>Schlussanstrich_Staffelung_Timber</vt:lpstr>
      <vt:lpstr>Sockel_Armieren_Kleben_Name</vt:lpstr>
      <vt:lpstr>Sockel_Oberputz_Name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Christiof Janz</dc:creator>
  <cp:lastModifiedBy>Groen, Soenke</cp:lastModifiedBy>
  <cp:lastPrinted>2019-02-26T07:55:14Z</cp:lastPrinted>
  <dcterms:created xsi:type="dcterms:W3CDTF">2014-10-15T12:59:18Z</dcterms:created>
  <dcterms:modified xsi:type="dcterms:W3CDTF">2023-10-06T12:27:31Z</dcterms:modified>
</cp:coreProperties>
</file>